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b98dc8e7f41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53f002c4c46f4f71"/>
    <x:sheet xmlns:r="http://schemas.openxmlformats.org/officeDocument/2006/relationships" name="Assumptions" sheetId="2" r:id="R149cd4c41427491c"/>
    <x:sheet xmlns:r="http://schemas.openxmlformats.org/officeDocument/2006/relationships" name="Forecast" sheetId="3" r:id="Rfd0cdf331dfa4cf4"/>
    <x:sheet xmlns:r="http://schemas.openxmlformats.org/officeDocument/2006/relationships" name="Actuals" sheetId="4" r:id="Rdcf40954db8f45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#,##0;(#,##0);&quot;–&quot;"/>
    <x:numFmt numFmtId="201" formatCode="0"/>
    <x:numFmt numFmtId="202" formatCode="0.000"/>
    <x:numFmt numFmtId="203" formatCode="0.00"/>
    <x:numFmt numFmtId="204" formatCode="dd-mmm-yyyy"/>
    <x:numFmt numFmtId="205" formatCode="0.000%"/>
    <x:numFmt numFmtId="206" formatCode="0.0%;(0.0%);&quot;–&quot;"/>
    <x:numFmt numFmtId="207" formatCode="0.0"/>
    <x:numFmt numFmtId="208" formatCode=";;;"/>
  </x:numFmts>
  <x:fonts count="12">
    <x:font>
      <x:sz val="11"/>
      <x:name val="Carlito"/>
    </x:font>
    <x:font>
      <x:sz val="10"/>
      <x:color rgb="FF242632"/>
      <x:name val="Arial"/>
    </x:font>
    <x:font>
      <x:b/>
      <x:sz val="15"/>
      <x:color rgb="FF8C3B50"/>
      <x:name val="Arial"/>
    </x:font>
    <x:font>
      <x:i/>
      <x:sz val="10"/>
      <x:color rgb="FF646873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9"/>
      <x:color rgb="FF646873"/>
      <x:name val="Arial"/>
    </x:font>
    <x:font>
      <x:b/>
      <x:sz val="10"/>
      <x:color rgb="FF242632"/>
      <x:name val="Arial"/>
    </x:font>
    <x:font>
      <x:b/>
      <x:sz val="10"/>
      <x:color rgb="FF0000FF"/>
      <x:name val="Arial"/>
    </x:font>
    <x:font>
      <x:sz val="10"/>
      <x:color rgb="FF008040"/>
      <x:name val="Arial"/>
    </x:font>
    <x:font>
      <x:i/>
      <x:sz val="10"/>
      <x:color rgb="FF242632"/>
      <x:name val="Arial"/>
    </x:font>
    <x:font>
      <x:b/>
      <x:sz val="16"/>
      <x:color rgb="FF8C3B5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8C3B50"/>
      </x:patternFill>
    </x:fill>
    <x:fill>
      <x:patternFill patternType="solid">
        <x:fgColor rgb="FFFFF4D8"/>
      </x:patternFill>
    </x:fill>
    <x:fill>
      <x:patternFill patternType="solid">
        <x:fgColor rgb="FFF4E9ED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8C3B50"/>
      </x:bottom>
      <x:diagonal/>
    </x:border>
    <x:border>
      <x:left/>
      <x:right/>
      <x:top style="thin">
        <x:color rgb="FFD8CED1"/>
      </x:top>
      <x:bottom/>
      <x:diagonal/>
    </x:border>
    <x:border>
      <x:left style="medium">
        <x:color rgb="FF8C3B50"/>
      </x:left>
      <x:right style="medium">
        <x:color rgb="FF8C3B50"/>
      </x:right>
      <x:top style="medium">
        <x:color rgb="FF8C3B50"/>
      </x:top>
      <x:bottom style="medium">
        <x:color rgb="FF8C3B50"/>
      </x:bottom>
      <x:diagonal/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horizontal="center" vertical="center"/>
    </x:xf>
    <x:xf numFmtId="200" fontId="4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center" vertical="center"/>
    </x:xf>
    <x:xf numFmtId="20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horizontal="right" vertical="center"/>
    </x:xf>
    <x:xf numFmtId="0" fontId="7" fillId="0" borderId="2" xfId="0" applyNumberFormat="1" applyFont="1" applyFill="1" applyBorder="1" applyAlignment="1">
      <x:alignment vertical="center"/>
    </x:xf>
    <x:xf numFmtId="200" fontId="8" fillId="0" borderId="2" xfId="0" applyNumberFormat="1" applyFont="1" applyFill="1" applyBorder="1" applyAlignment="1">
      <x:alignment horizontal="right" vertical="center"/>
    </x:xf>
    <x:xf numFmtId="202" fontId="8" fillId="0" borderId="2" xfId="0" applyNumberFormat="1" applyFont="1" applyFill="1" applyBorder="1" applyAlignment="1">
      <x:alignment horizontal="right" vertical="center"/>
    </x:xf>
    <x:xf numFmtId="202" fontId="5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9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5" fillId="3" borderId="0" xfId="0" applyNumberFormat="1" applyFont="1" applyFill="1" applyBorder="1" applyAlignment="1">
      <x:alignment vertical="center"/>
    </x:xf>
    <x:xf numFmtId="203" fontId="9" fillId="0" borderId="0" xfId="0" applyNumberFormat="1" applyFont="1" applyFill="1" applyBorder="1" applyAlignment="1">
      <x:alignment vertical="center"/>
    </x:xf>
    <x:xf numFmtId="206" fontId="5" fillId="3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3" fontId="5" fillId="3" borderId="0" xfId="0" applyNumberFormat="1" applyFont="1" applyFill="1" applyBorder="1" applyAlignment="1">
      <x:alignment vertical="center"/>
    </x:xf>
    <x:xf numFmtId="207" fontId="9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0" fontId="7" fillId="0" borderId="2" xfId="0" applyNumberFormat="1" applyFont="1" applyFill="1" applyBorder="1" applyAlignment="1">
      <x:alignment vertical="center"/>
    </x:xf>
    <x:xf numFmtId="208" fontId="1" fillId="0" borderId="0" xfId="0" applyNumberFormat="1" applyFont="1" applyFill="1" applyBorder="1" applyAlignment="1">
      <x:alignment vertical="center"/>
    </x:xf>
    <x:xf numFmtId="208" fontId="1" fillId="2" borderId="0" xfId="0" applyNumberFormat="1" applyFont="1" applyFill="1" applyBorder="1" applyAlignment="1">
      <x:alignment vertical="center"/>
    </x:xf>
    <x:xf numFmtId="206" fontId="1" fillId="2" borderId="0" xfId="0" applyNumberFormat="1" applyFont="1" applyFill="1" applyBorder="1" applyAlignment="1">
      <x:alignment vertical="center"/>
    </x:xf>
    <x:xf numFmtId="208" fontId="4" fillId="2" borderId="0" xfId="0" applyNumberFormat="1" applyFont="1" applyFill="1" applyBorder="1" applyAlignment="1">
      <x:alignment vertical="center"/>
    </x:xf>
    <x:xf numFmtId="206" fontId="4" fillId="2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5" fontId="7" fillId="4" borderId="0" xfId="0" applyNumberFormat="1" applyFont="1" applyFill="1" applyBorder="1" applyAlignment="1">
      <x:alignment vertical="center"/>
    </x:xf>
    <x:xf numFmtId="203" fontId="1" fillId="0" borderId="3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horizontal="center" vertical="center"/>
    </x:xf>
    <x:xf numFmtId="200" fontId="4" fillId="2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7" fillId="0" borderId="0" xfId="0" applyNumberFormat="1" applyFont="1" applyFill="1" applyBorder="1" applyAlignment="1">
      <x:alignment horizontal="right" vertical="center"/>
    </x:xf>
    <x:xf numFmtId="200" fontId="7" fillId="0" borderId="2" xfId="0" applyNumberFormat="1" applyFont="1" applyFill="1" applyBorder="1" applyAlignment="1">
      <x:alignment horizontal="right" vertical="center"/>
    </x:xf>
    <x:xf numFmtId="206" fontId="1" fillId="0" borderId="0" xfId="0" applyNumberFormat="1" applyFont="1" applyFill="1" applyBorder="1" applyAlignment="1">
      <x:alignment horizontal="right" vertical="center"/>
    </x:xf>
    <x:xf numFmtId="0" fontId="10" fillId="0" borderId="0" xfId="0" applyNumberFormat="1" applyFont="1" applyFill="1" applyBorder="1" applyAlignment="1">
      <x:alignment vertical="center"/>
    </x:xf>
    <x:xf numFmtId="206" fontId="10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0" fontId="9" fillId="0" borderId="0" xfId="0" applyNumberFormat="1" applyFont="1" applyFill="1" applyBorder="1" applyAlignment="1">
      <x:alignment horizontal="right" vertical="center"/>
    </x:xf>
    <x:xf numFmtId="202" fontId="9" fillId="0" borderId="0" xfId="0" applyNumberFormat="1" applyFont="1" applyFill="1" applyBorder="1" applyAlignment="1">
      <x:alignment horizontal="right" vertical="center"/>
    </x:xf>
    <x:xf numFmtId="207" fontId="1" fillId="0" borderId="0" xfId="0" applyNumberFormat="1" applyFont="1" applyFill="1" applyBorder="1" applyAlignment="1">
      <x:alignment vertical="center"/>
    </x:xf>
    <x:xf numFmtId="203" fontId="7" fillId="0" borderId="0" xfId="0" applyNumberFormat="1" applyFont="1" applyFill="1" applyBorder="1" applyAlignment="1">
      <x:alignment vertical="center"/>
    </x:xf>
    <x:xf numFmtId="203" fontId="7" fillId="0" borderId="2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1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59b30b01c44fb" /><Relationship Type="http://schemas.openxmlformats.org/officeDocument/2006/relationships/theme" Target="/xl/theme/theme1.xml" Id="Rb4d67dd22a8b409e" /><Relationship Type="http://schemas.openxmlformats.org/officeDocument/2006/relationships/sharedStrings" Target="/xl/sharedStrings.xml" Id="Rac25a9fdfadf4cda" /><Relationship Type="http://schemas.openxmlformats.org/officeDocument/2006/relationships/worksheet" Target="/xl/worksheets/sheet1.xml" Id="R53f002c4c46f4f71" /><Relationship Type="http://schemas.openxmlformats.org/officeDocument/2006/relationships/worksheet" Target="/xl/worksheets/sheet2.xml" Id="R149cd4c41427491c" /><Relationship Type="http://schemas.openxmlformats.org/officeDocument/2006/relationships/worksheet" Target="/xl/worksheets/sheet3.xml" Id="Rfd0cdf331dfa4cf4" /><Relationship Type="http://schemas.openxmlformats.org/officeDocument/2006/relationships/worksheet" Target="/xl/worksheets/sheet4.xml" Id="Rdcf40954db8f45b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41c12a91c5346e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FCFF — prognoza (mln EUR)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FCFF</c:v>
          </c:tx>
          <c:spPr>
            <a:solidFill xmlns:a="http://schemas.openxmlformats.org/drawingml/2006/main">
              <a:srgbClr val="8C3B50"/>
            </a:solidFill>
            <a:ln xmlns:a="http://schemas.openxmlformats.org/drawingml/2006/main" w="19050">
              <a:solidFill>
                <a:srgbClr val="8C3B50"/>
              </a:solidFill>
              <a:prstDash val="solid"/>
            </a:ln>
          </c:spPr>
          <c:marker>
            <c:symbol val="none"/>
          </c:marker>
          <c:cat>
            <c:strRef>
              <c:f>'Summary'!$C$27:$C$37</c:f>
              <c:strCache>
                <c:ptCount val="0"/>
              </c:strCache>
            </c:strRef>
          </c:cat>
          <c:val>
            <c:numRef>
              <c:f>'Summary'!$F$27:$F$37</c:f>
              <c:numCache>
                <c:formatCode>#,##0;(#,##0);"–"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4</xdr:row>
      <xdr:rowOff>0</xdr:rowOff>
    </xdr:from>
    <xdr:to>
      <xdr:col>14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41c12a91c5346e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18ed8da22fc4acd" /></Relationships>
</file>

<file path=xl/worksheets/sheet1.xml><?xml version="1.0" encoding="utf-8"?>
<x:worksheet xmlns:x="http://schemas.openxmlformats.org/spreadsheetml/2006/main">
  <x:sheetPr>
    <x:tabColor rgb="FF8C3B50"/>
  </x:sheetPr>
  <x:sheetViews>
    <x:sheetView showGridLines="0" workbookViewId="0"/>
  </x:sheetViews>
  <x:sheetFormatPr defaultRowHeight="15"/>
  <x:cols>
    <x:col min="1" max="1" width="2.200000047683716" hidden="0" customWidth="1"/>
    <x:col min="2" max="2" width="2.200000047683716" hidden="0" customWidth="1"/>
    <x:col min="3" max="3" width="47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8" customHeight="1">
      <x:c r="A2" s="2"/>
      <x:c r="B2" s="2"/>
      <x:c r="C2" s="6" t="str">
        <x:v>Universal Music Group — wycena DCF</x:v>
      </x:c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2"/>
      <x:c r="P2" s="2"/>
    </x:row>
    <x:row r="3" ht="23" customHeight="1">
      <x:c r="A3" s="2"/>
      <x:c r="B3" s="2"/>
      <x:c r="C3" s="5" t="str">
        <x:v>Stan analizy: 5 listopada 2026. Model autorski; mln EUR poza ceną akcji.</x:v>
      </x:c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2"/>
      <x:c r="P3" s="2"/>
    </x:row>
    <x:row r="4" ht="21" customHeight="1">
      <x:c r="A4" s="2"/>
      <x:c r="B4" s="2"/>
      <x:c r="C4" s="2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2"/>
    </x:row>
    <x:row r="5" ht="31" customHeight="1">
      <x:c r="A5" s="2"/>
      <x:c r="B5" s="2"/>
      <x:c r="C5" s="2" t="str">
        <x:v>Wartość DCF na akcję (EUR)</x:v>
      </x:c>
      <x:c r="D5" s="3"/>
      <x:c r="E5" s="3"/>
      <x:c r="F5" s="65" t="n">
        <x:f>'Forecast'!F61</x:f>
        <x:v>14.64127039805712</x:v>
      </x:c>
      <x:c r="G5" s="3"/>
      <x:c r="H5" s="3"/>
      <x:c r="I5" s="3"/>
      <x:c r="J5" s="3"/>
      <x:c r="K5" s="3"/>
      <x:c r="L5" s="3"/>
      <x:c r="M5" s="3"/>
      <x:c r="N5" s="3"/>
      <x:c r="O5" s="3"/>
      <x:c r="P5" s="2"/>
    </x:row>
    <x:row r="6" ht="21" customHeight="1">
      <x:c r="A6" s="2"/>
      <x:c r="B6" s="2"/>
      <x:c r="C6" s="2" t="str">
        <x:v>Kurs odniesienia 4.11.2026 (EUR)</x:v>
      </x:c>
      <x:c r="D6" s="3"/>
      <x:c r="E6" s="3"/>
      <x:c r="F6" s="26" t="n">
        <x:f>'Actuals'!D42</x:f>
        <x:v>17.58</x:v>
      </x:c>
      <x:c r="G6" s="3"/>
      <x:c r="H6" s="3"/>
      <x:c r="I6" s="3"/>
      <x:c r="J6" s="3"/>
      <x:c r="K6" s="3"/>
      <x:c r="L6" s="3"/>
      <x:c r="M6" s="3"/>
      <x:c r="N6" s="3"/>
      <x:c r="O6" s="3"/>
      <x:c r="P6" s="2"/>
    </x:row>
    <x:row r="7" ht="21" customHeight="1">
      <x:c r="A7" s="2"/>
      <x:c r="B7" s="2"/>
      <x:c r="C7" s="2" t="str">
        <x:v>Różnica wobec kursu odniesienia</x:v>
      </x:c>
      <x:c r="D7" s="3"/>
      <x:c r="E7" s="3"/>
      <x:c r="F7" s="36" t="n">
        <x:f>F5/F6-1</x:f>
        <x:v>-0.16716323105477127</x:v>
      </x:c>
      <x:c r="G7" s="3"/>
      <x:c r="H7" s="3"/>
      <x:c r="I7" s="3"/>
      <x:c r="J7" s="3"/>
      <x:c r="K7" s="3"/>
      <x:c r="L7" s="3"/>
      <x:c r="M7" s="3"/>
      <x:c r="N7" s="3"/>
      <x:c r="O7" s="3"/>
      <x:c r="P7" s="2"/>
    </x:row>
    <x:row r="8" ht="21" customHeight="1">
      <x:c r="A8" s="2"/>
      <x:c r="B8" s="2"/>
      <x:c r="C8" s="2" t="str">
        <x:v>WACC</x:v>
      </x:c>
      <x:c r="D8" s="3"/>
      <x:c r="E8" s="3"/>
      <x:c r="F8" s="36" t="n">
        <x:f>'Assumptions'!F6</x:f>
        <x:v>0.07725000000000001</x:v>
      </x:c>
      <x:c r="G8" s="3"/>
      <x:c r="H8" s="3"/>
      <x:c r="I8" s="3"/>
      <x:c r="J8" s="3"/>
      <x:c r="K8" s="3"/>
      <x:c r="L8" s="3"/>
      <x:c r="M8" s="3"/>
      <x:c r="N8" s="3"/>
      <x:c r="O8" s="3"/>
      <x:c r="P8" s="2"/>
    </x:row>
    <x:row r="9" ht="21" customHeight="1">
      <x:c r="A9" s="2"/>
      <x:c r="B9" s="2"/>
      <x:c r="C9" s="2" t="str">
        <x:v>Wzrost terminalny</x:v>
      </x:c>
      <x:c r="D9" s="3"/>
      <x:c r="E9" s="3"/>
      <x:c r="F9" s="36" t="n">
        <x:f>'Assumptions'!F7</x:f>
        <x:v>0.025</x:v>
      </x:c>
      <x:c r="G9" s="3"/>
      <x:c r="H9" s="3"/>
      <x:c r="I9" s="3"/>
      <x:c r="J9" s="3"/>
      <x:c r="K9" s="3"/>
      <x:c r="L9" s="3"/>
      <x:c r="M9" s="3"/>
      <x:c r="N9" s="3"/>
      <x:c r="O9" s="3"/>
      <x:c r="P9" s="2"/>
    </x:row>
    <x:row r="10" ht="21" customHeight="1">
      <x:c r="A10" s="2"/>
      <x:c r="B10" s="2"/>
      <x:c r="C10" s="2" t="str">
        <x:v>Udział PV terminala w EV</x:v>
      </x:c>
      <x:c r="D10" s="3"/>
      <x:c r="E10" s="3"/>
      <x:c r="F10" s="36" t="n">
        <x:f>'Forecast'!F62</x:f>
        <x:v>0.6383222882756538</x:v>
      </x:c>
      <x:c r="G10" s="3"/>
      <x:c r="H10" s="3"/>
      <x:c r="I10" s="3"/>
      <x:c r="J10" s="3"/>
      <x:c r="K10" s="3"/>
      <x:c r="L10" s="3"/>
      <x:c r="M10" s="3"/>
      <x:c r="N10" s="3"/>
      <x:c r="O10" s="3"/>
      <x:c r="P10" s="2"/>
    </x:row>
    <x:row r="11" ht="21" customHeight="1">
      <x:c r="A11" s="2"/>
      <x:c r="B11" s="2"/>
      <x:c r="C11" s="2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2"/>
    </x:row>
    <x:row r="12" ht="23" customHeight="1">
      <x:c r="A12" s="2"/>
      <x:c r="B12" s="2"/>
      <x:c r="C12" s="10" t="str">
        <x:v>Most wartości (mln EUR)</x:v>
      </x:c>
      <x:c r="D12" s="11"/>
      <x:c r="E12" s="11"/>
      <x:c r="F12" s="11"/>
      <x:c r="G12" s="3"/>
      <x:c r="H12" s="3"/>
      <x:c r="I12" s="3"/>
      <x:c r="J12" s="3"/>
      <x:c r="K12" s="3"/>
      <x:c r="L12" s="3"/>
      <x:c r="M12" s="3"/>
      <x:c r="N12" s="3"/>
      <x:c r="O12" s="3"/>
      <x:c r="P12" s="2"/>
    </x:row>
    <x:row r="13" ht="21" customHeight="1">
      <x:c r="A13" s="2"/>
      <x:c r="B13" s="2"/>
      <x:c r="C13" s="2" t="str">
        <x:v>PV pozostałej części 2026</x:v>
      </x:c>
      <x:c r="D13" s="3"/>
      <x:c r="E13" s="3"/>
      <x:c r="F13" s="3" t="n">
        <x:f>'Forecast'!F48</x:f>
        <x:v>165.45891711356973</x:v>
      </x:c>
      <x:c r="G13" s="3"/>
      <x:c r="H13" s="3"/>
      <x:c r="I13" s="3"/>
      <x:c r="J13" s="3"/>
      <x:c r="K13" s="3"/>
      <x:c r="L13" s="3"/>
      <x:c r="M13" s="3"/>
      <x:c r="N13" s="3"/>
      <x:c r="O13" s="3"/>
      <x:c r="P13" s="2"/>
    </x:row>
    <x:row r="14" ht="21" customHeight="1">
      <x:c r="A14" s="2"/>
      <x:c r="B14" s="2"/>
      <x:c r="C14" s="2" t="str">
        <x:v>PV FCFF 2027–2036</x:v>
      </x:c>
      <x:c r="D14" s="3"/>
      <x:c r="E14" s="3"/>
      <x:c r="F14" s="3" t="n">
        <x:f>'Forecast'!F49</x:f>
        <x:v>10681.358791639987</x:v>
      </x:c>
      <x:c r="G14" s="3"/>
      <x:c r="H14" s="3"/>
      <x:c r="I14" s="3"/>
      <x:c r="J14" s="3"/>
      <x:c r="K14" s="3"/>
      <x:c r="L14" s="3"/>
      <x:c r="M14" s="3"/>
      <x:c r="N14" s="3"/>
      <x:c r="O14" s="3"/>
      <x:c r="P14" s="2"/>
    </x:row>
    <x:row r="15" ht="21" customHeight="1">
      <x:c r="A15" s="2"/>
      <x:c r="B15" s="2"/>
      <x:c r="C15" s="2" t="str">
        <x:v>PV wartości terminalnej</x:v>
      </x:c>
      <x:c r="D15" s="3"/>
      <x:c r="E15" s="3"/>
      <x:c r="F15" s="3" t="n">
        <x:f>'Forecast'!F52</x:f>
        <x:v>19143.467446059887</x:v>
      </x:c>
      <x:c r="G15" s="3"/>
      <x:c r="H15" s="3"/>
      <x:c r="I15" s="3"/>
      <x:c r="J15" s="3"/>
      <x:c r="K15" s="3"/>
      <x:c r="L15" s="3"/>
      <x:c r="M15" s="3"/>
      <x:c r="N15" s="3"/>
      <x:c r="O15" s="3"/>
      <x:c r="P15" s="2"/>
    </x:row>
    <x:row r="16" ht="21" customHeight="1">
      <x:c r="A16" s="2"/>
      <x:c r="B16" s="2"/>
      <x:c r="C16" s="22" t="str">
        <x:v>Wartość przedsiębiorstwa</x:v>
      </x:c>
      <x:c r="D16" s="40"/>
      <x:c r="E16" s="40"/>
      <x:c r="F16" s="40" t="n">
        <x:f>'Forecast'!F53</x:f>
        <x:v>29990.285154813442</x:v>
      </x:c>
      <x:c r="G16" s="3"/>
      <x:c r="H16" s="3"/>
      <x:c r="I16" s="3"/>
      <x:c r="J16" s="3"/>
      <x:c r="K16" s="3"/>
      <x:c r="L16" s="3"/>
      <x:c r="M16" s="3"/>
      <x:c r="N16" s="3"/>
      <x:c r="O16" s="3"/>
      <x:c r="P16" s="2"/>
    </x:row>
    <x:row r="17" ht="21" customHeight="1">
      <x:c r="A17" s="2"/>
      <x:c r="B17" s="2"/>
      <x:c r="C17" s="2" t="str">
        <x:v>Finansowy dług netto — przybliżenie</x:v>
      </x:c>
      <x:c r="D17" s="3"/>
      <x:c r="E17" s="3"/>
      <x:c r="F17" s="3" t="n">
        <x:f>'Forecast'!F54</x:f>
        <x:v>-4395</x:v>
      </x:c>
      <x:c r="G17" s="3"/>
      <x:c r="H17" s="3"/>
      <x:c r="I17" s="3"/>
      <x:c r="J17" s="3"/>
      <x:c r="K17" s="3"/>
      <x:c r="L17" s="3"/>
      <x:c r="M17" s="3"/>
      <x:c r="N17" s="3"/>
      <x:c r="O17" s="3"/>
      <x:c r="P17" s="2"/>
    </x:row>
    <x:row r="18" ht="21" customHeight="1">
      <x:c r="A18" s="2"/>
      <x:c r="B18" s="2"/>
      <x:c r="C18" s="2" t="str">
        <x:v>Deficyt emerytalny</x:v>
      </x:c>
      <x:c r="D18" s="3"/>
      <x:c r="E18" s="3"/>
      <x:c r="F18" s="3" t="n">
        <x:f>'Forecast'!F55</x:f>
        <x:v>-152</x:v>
      </x:c>
      <x:c r="G18" s="3"/>
      <x:c r="H18" s="3"/>
      <x:c r="I18" s="3"/>
      <x:c r="J18" s="3"/>
      <x:c r="K18" s="3"/>
      <x:c r="L18" s="3"/>
      <x:c r="M18" s="3"/>
      <x:c r="N18" s="3"/>
      <x:c r="O18" s="3"/>
      <x:c r="P18" s="2"/>
    </x:row>
    <x:row r="19" ht="21" customHeight="1">
      <x:c r="A19" s="2"/>
      <x:c r="B19" s="2"/>
      <x:c r="C19" s="2" t="str">
        <x:v>Notowane udziały po redukcji</x:v>
      </x:c>
      <x:c r="D19" s="3"/>
      <x:c r="E19" s="3"/>
      <x:c r="F19" s="3" t="n">
        <x:f>'Forecast'!F56</x:f>
        <x:v>1606.5</x:v>
      </x:c>
      <x:c r="G19" s="3"/>
      <x:c r="H19" s="3"/>
      <x:c r="I19" s="3"/>
      <x:c r="J19" s="3"/>
      <x:c r="K19" s="3"/>
      <x:c r="L19" s="3"/>
      <x:c r="M19" s="3"/>
      <x:c r="N19" s="3"/>
      <x:c r="O19" s="3"/>
      <x:c r="P19" s="2"/>
    </x:row>
    <x:row r="20" ht="21" customHeight="1">
      <x:c r="A20" s="2"/>
      <x:c r="B20" s="2"/>
      <x:c r="C20" s="2" t="str">
        <x:v>Mniejszości</x:v>
      </x:c>
      <x:c r="D20" s="3"/>
      <x:c r="E20" s="3"/>
      <x:c r="F20" s="3" t="n">
        <x:f>'Forecast'!F57</x:f>
        <x:v>-22</x:v>
      </x:c>
      <x:c r="G20" s="3"/>
      <x:c r="H20" s="3"/>
      <x:c r="I20" s="3"/>
      <x:c r="J20" s="3"/>
      <x:c r="K20" s="3"/>
      <x:c r="L20" s="3"/>
      <x:c r="M20" s="3"/>
      <x:c r="N20" s="3"/>
      <x:c r="O20" s="3"/>
      <x:c r="P20" s="2"/>
    </x:row>
    <x:row r="21" ht="21" customHeight="1">
      <x:c r="A21" s="2"/>
      <x:c r="B21" s="2"/>
      <x:c r="C21" s="2" t="str">
        <x:v>Stowarzyszone poza modelem</x:v>
      </x:c>
      <x:c r="D21" s="3"/>
      <x:c r="E21" s="3"/>
      <x:c r="F21" s="3" t="n">
        <x:f>'Forecast'!F58</x:f>
        <x:v>0</x:v>
      </x:c>
      <x:c r="G21" s="3"/>
      <x:c r="H21" s="3"/>
      <x:c r="I21" s="3"/>
      <x:c r="J21" s="3"/>
      <x:c r="K21" s="3"/>
      <x:c r="L21" s="3"/>
      <x:c r="M21" s="3"/>
      <x:c r="N21" s="3"/>
      <x:c r="O21" s="3"/>
      <x:c r="P21" s="2"/>
    </x:row>
    <x:row r="22" ht="21" customHeight="1">
      <x:c r="A22" s="2"/>
      <x:c r="B22" s="2"/>
      <x:c r="C22" s="22" t="str">
        <x:v>Wartość kapitału własnego</x:v>
      </x:c>
      <x:c r="D22" s="40"/>
      <x:c r="E22" s="40"/>
      <x:c r="F22" s="40" t="n">
        <x:f>'Forecast'!F59</x:f>
        <x:v>27027.785154813442</x:v>
      </x:c>
      <x:c r="G22" s="3"/>
      <x:c r="H22" s="3"/>
      <x:c r="I22" s="3"/>
      <x:c r="J22" s="3"/>
      <x:c r="K22" s="3"/>
      <x:c r="L22" s="3"/>
      <x:c r="M22" s="3"/>
      <x:c r="N22" s="3"/>
      <x:c r="O22" s="3"/>
      <x:c r="P22" s="2"/>
    </x:row>
    <x:row r="23" ht="21" customHeight="1">
      <x:c r="A23" s="2"/>
      <x:c r="B23" s="2"/>
      <x:c r="C23" s="2" t="str">
        <x:v>Rozwodniona liczba akcji (mln)</x:v>
      </x:c>
      <x:c r="D23" s="3"/>
      <x:c r="E23" s="3"/>
      <x:c r="F23" s="61" t="n">
        <x:f>'Forecast'!F60</x:f>
        <x:v>1846</x:v>
      </x:c>
      <x:c r="G23" s="3"/>
      <x:c r="H23" s="3"/>
      <x:c r="I23" s="3"/>
      <x:c r="J23" s="3"/>
      <x:c r="K23" s="3"/>
      <x:c r="L23" s="3"/>
      <x:c r="M23" s="3"/>
      <x:c r="N23" s="3"/>
      <x:c r="O23" s="3"/>
      <x:c r="P23" s="2"/>
    </x:row>
    <x:row r="24" ht="21" customHeight="1">
      <x:c r="A24" s="2"/>
      <x:c r="B24" s="2"/>
      <x:c r="C24" s="2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2"/>
    </x:row>
    <x:row r="25" ht="21" customHeight="1">
      <x:c r="A25" s="2"/>
      <x:c r="B25" s="2"/>
      <x:c r="C25" s="2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  <x:c r="P25" s="2"/>
    </x:row>
    <x:row r="26" ht="23" customHeight="1">
      <x:c r="A26" s="2"/>
      <x:c r="B26" s="2"/>
      <x:c r="C26" s="10" t="str">
        <x:v>Rok</x:v>
      </x:c>
      <x:c r="D26" s="17" t="str">
        <x:v>Przychody</x:v>
      </x:c>
      <x:c r="E26" s="17" t="str">
        <x:v>Skoryg. EBITDA</x:v>
      </x:c>
      <x:c r="F26" s="17" t="str">
        <x:v>FCFF</x:v>
      </x:c>
      <x:c r="G26" s="17" t="str">
        <x:v>Marża FCFF</x:v>
      </x:c>
      <x:c r="H26" s="3"/>
      <x:c r="I26" s="39" t="str">
        <x:v>Jak odczytywać model</x:v>
      </x:c>
      <x:c r="J26" s="39"/>
      <x:c r="K26" s="39"/>
      <x:c r="L26" s="39"/>
      <x:c r="M26" s="39"/>
      <x:c r="N26" s="39"/>
      <x:c r="O26" s="3"/>
      <x:c r="P26" s="2"/>
    </x:row>
    <x:row r="27" ht="21" customHeight="1">
      <x:c r="A27" s="2"/>
      <x:c r="B27" s="2"/>
      <x:c r="C27" s="2" t="str">
        <x:v>2026E</x:v>
      </x:c>
      <x:c r="D27" s="3" t="n">
        <x:f>'Forecast'!D11</x:f>
        <x:v>13500</x:v>
      </x:c>
      <x:c r="E27" s="3" t="n">
        <x:f>'Forecast'!D20</x:f>
        <x:v>2894.4269058299997</x:v>
      </x:c>
      <x:c r="F27" s="3" t="n">
        <x:f>'Forecast'!D36</x:f>
        <x:v>1090.8201793724998</x:v>
      </x:c>
      <x:c r="G27" s="36" t="n">
        <x:f>'Forecast'!D37</x:f>
        <x:v>0.08080149476833332</x:v>
      </x:c>
      <x:c r="H27" s="3"/>
      <x:c r="I27" s="3"/>
      <x:c r="J27" s="3"/>
      <x:c r="K27" s="3"/>
      <x:c r="L27" s="3"/>
      <x:c r="M27" s="3"/>
      <x:c r="N27" s="3"/>
      <x:c r="O27" s="3"/>
      <x:c r="P27" s="2"/>
    </x:row>
    <x:row r="28" ht="21" customHeight="1">
      <x:c r="A28" s="2"/>
      <x:c r="B28" s="2"/>
      <x:c r="C28" s="2" t="str">
        <x:v>2027E</x:v>
      </x:c>
      <x:c r="D28" s="3" t="n">
        <x:f>'Forecast'!E11</x:f>
        <x:v>14350.65</x:v>
      </x:c>
      <x:c r="E28" s="3" t="n">
        <x:f>'Forecast'!E20</x:f>
        <x:v>3163.029134529577</x:v>
      </x:c>
      <x:c r="F28" s="3" t="n">
        <x:f>'Forecast'!E36</x:f>
        <x:v>1139.1548508971828</x:v>
      </x:c>
      <x:c r="G28" s="36" t="n">
        <x:f>'Forecast'!E37</x:f>
        <x:v>0.07938001769238208</x:v>
      </x:c>
      <x:c r="H28" s="3"/>
      <x:c r="I28" s="3" t="str">
        <x:v>Przychody 2026E: 13 500 mln EUR.</x:v>
      </x:c>
      <x:c r="J28" s="3"/>
      <x:c r="K28" s="3"/>
      <x:c r="L28" s="3"/>
      <x:c r="M28" s="3"/>
      <x:c r="N28" s="3"/>
      <x:c r="O28" s="3"/>
      <x:c r="P28" s="2"/>
    </x:row>
    <x:row r="29" ht="21" customHeight="1">
      <x:c r="A29" s="2"/>
      <x:c r="B29" s="2"/>
      <x:c r="C29" s="2" t="str">
        <x:v>2028E</x:v>
      </x:c>
      <x:c r="D29" s="3" t="n">
        <x:f>'Forecast'!F11</x:f>
        <x:v>15203.445</x:v>
      </x:c>
      <x:c r="E29" s="3" t="n">
        <x:f>'Forecast'!F20</x:f>
        <x:v>3430.5751991708585</x:v>
      </x:c>
      <x:c r="F29" s="3" t="n">
        <x:f>'Forecast'!F36</x:f>
        <x:v>1271.376299378144</x:v>
      </x:c>
      <x:c r="G29" s="36" t="n">
        <x:f>'Forecast'!F37</x:f>
        <x:v>0.08362422460028922</x:v>
      </x:c>
      <x:c r="H29" s="3"/>
      <x:c r="I29" s="3" t="str">
        <x:v>Q4 implikowane: 3 912 mln przychodów,</x:v>
      </x:c>
      <x:c r="J29" s="3"/>
      <x:c r="K29" s="3"/>
      <x:c r="L29" s="3"/>
      <x:c r="M29" s="3"/>
      <x:c r="N29" s="3"/>
      <x:c r="O29" s="3"/>
      <x:c r="P29" s="2"/>
    </x:row>
    <x:row r="30" ht="21" customHeight="1">
      <x:c r="A30" s="2"/>
      <x:c r="B30" s="2"/>
      <x:c r="C30" s="2" t="str">
        <x:v>2029E</x:v>
      </x:c>
      <x:c r="D30" s="3" t="n">
        <x:f>'Forecast'!G11</x:f>
        <x:v>16027.918355000002</x:v>
      </x:c>
      <x:c r="E30" s="3" t="n">
        <x:f>'Forecast'!G20</x:f>
        <x:v>3701.2239377341866</x:v>
      </x:c>
      <x:c r="F30" s="3" t="n">
        <x:f>'Forecast'!G36</x:f>
        <x:v>1411.23714940064</x:v>
      </x:c>
      <x:c r="G30" s="36" t="n">
        <x:f>'Forecast'!G37</x:f>
        <x:v>0.08804868593309227</x:v>
      </x:c>
      <x:c r="H30" s="3"/>
      <x:c r="I30" s="3" t="str">
        <x:v>855,43 mln skorygowanej EBITDA.</x:v>
      </x:c>
      <x:c r="J30" s="3"/>
      <x:c r="K30" s="3"/>
      <x:c r="L30" s="3"/>
      <x:c r="M30" s="3"/>
      <x:c r="N30" s="3"/>
      <x:c r="O30" s="3"/>
      <x:c r="P30" s="2"/>
    </x:row>
    <x:row r="31" ht="21" customHeight="1">
      <x:c r="A31" s="2"/>
      <x:c r="B31" s="2"/>
      <x:c r="C31" s="2" t="str">
        <x:v>2030E</x:v>
      </x:c>
      <x:c r="D31" s="3" t="n">
        <x:f>'Forecast'!H11</x:f>
        <x:v>16817.76555725</x:v>
      </x:c>
      <x:c r="E31" s="3" t="n">
        <x:f>'Forecast'!H20</x:f>
        <x:v>3930.0888975313437</x:v>
      </x:c>
      <x:c r="F31" s="3" t="n">
        <x:f>'Forecast'!H36</x:f>
        <x:v>1523.1607083435078</x:v>
      </x:c>
      <x:c r="G31" s="36" t="n">
        <x:f>'Forecast'!H37</x:f>
        <x:v>0.09056855401857387</x:v>
      </x:c>
      <x:c r="H31" s="3"/>
      <x:c r="I31" s="3" t="str">
        <x:v>Prognozy segmentów nie są konsensusem.</x:v>
      </x:c>
      <x:c r="J31" s="3"/>
      <x:c r="K31" s="3"/>
      <x:c r="L31" s="3"/>
      <x:c r="M31" s="3"/>
      <x:c r="N31" s="3"/>
      <x:c r="O31" s="3"/>
      <x:c r="P31" s="2"/>
    </x:row>
    <x:row r="32" ht="21" customHeight="1">
      <x:c r="A32" s="2"/>
      <x:c r="B32" s="2"/>
      <x:c r="C32" s="2" t="str">
        <x:v>2031E</x:v>
      </x:c>
      <x:c r="D32" s="3" t="n">
        <x:f>'Forecast'!I11</x:f>
        <x:v>17562.886504858754</x:v>
      </x:c>
      <x:c r="E32" s="3" t="n">
        <x:f>'Forecast'!I20</x:f>
        <x:v>4155.513153130169</x:v>
      </x:c>
      <x:c r="F32" s="3" t="n">
        <x:f>'Forecast'!I36</x:f>
        <x:v>1637.0918496980512</x:v>
      </x:c>
      <x:c r="G32" s="36" t="n">
        <x:f>'Forecast'!I37</x:f>
        <x:v>0.09321314291048635</x:v>
      </x:c>
      <x:c r="H32" s="3"/>
      <x:c r="I32" s="3" t="str">
        <x:v>Wartość zależy od zaliczek, katalogów</x:v>
      </x:c>
      <x:c r="J32" s="3"/>
      <x:c r="K32" s="3"/>
      <x:c r="L32" s="3"/>
      <x:c r="M32" s="3"/>
      <x:c r="N32" s="3"/>
      <x:c r="O32" s="3"/>
      <x:c r="P32" s="2"/>
    </x:row>
    <x:row r="33" ht="21" customHeight="1">
      <x:c r="A33" s="2"/>
      <x:c r="B33" s="2"/>
      <x:c r="C33" s="2" t="str">
        <x:v>2032E</x:v>
      </x:c>
      <x:c r="D33" s="3" t="n">
        <x:f>'Forecast'!J11</x:f>
        <x:v>18272.69074105885</x:v>
      </x:c>
      <x:c r="E33" s="3" t="n">
        <x:f>'Forecast'!J20</x:f>
        <x:v>4363.808003258588</x:v>
      </x:c>
      <x:c r="F33" s="3" t="n">
        <x:f>'Forecast'!J36</x:f>
        <x:v>1740.0603195392232</x:v>
      </x:c>
      <x:c r="G33" s="36" t="n">
        <x:f>'Forecast'!J37</x:f>
        <x:v>0.09522737204922409</x:v>
      </x:c>
      <x:c r="H33" s="3"/>
      <x:c r="I33" s="3" t="str">
        <x:v>i marży po integracji Downtown.</x:v>
      </x:c>
      <x:c r="J33" s="3"/>
      <x:c r="K33" s="3"/>
      <x:c r="L33" s="3"/>
      <x:c r="M33" s="3"/>
      <x:c r="N33" s="3"/>
      <x:c r="O33" s="3"/>
      <x:c r="P33" s="2"/>
    </x:row>
    <x:row r="34" ht="21" customHeight="1">
      <x:c r="A34" s="2"/>
      <x:c r="B34" s="2"/>
      <x:c r="C34" s="2" t="str">
        <x:v>2033E</x:v>
      </x:c>
      <x:c r="D34" s="3" t="n">
        <x:f>'Forecast'!K11</x:f>
        <x:v>18991.534668849723</x:v>
      </x:c>
      <x:c r="E34" s="3" t="n">
        <x:f>'Forecast'!K20</x:f>
        <x:v>4581.041786267883</x:v>
      </x:c>
      <x:c r="F34" s="3" t="n">
        <x:f>'Forecast'!K36</x:f>
        <x:v>1844.5741734138473</x:v>
      </x:c>
      <x:c r="G34" s="36" t="n">
        <x:f>'Forecast'!K37</x:f>
        <x:v>0.09712612516982912</x:v>
      </x:c>
      <x:c r="H34" s="3"/>
      <x:c r="I34" s="3" t="str">
        <x:v>Zmiany stóp i g: tabela w Assumptions.</x:v>
      </x:c>
      <x:c r="J34" s="3"/>
      <x:c r="K34" s="3"/>
      <x:c r="L34" s="3"/>
      <x:c r="M34" s="3"/>
      <x:c r="N34" s="3"/>
      <x:c r="O34" s="3"/>
      <x:c r="P34" s="2"/>
    </x:row>
    <x:row r="35" ht="21" customHeight="1">
      <x:c r="A35" s="2"/>
      <x:c r="B35" s="2"/>
      <x:c r="C35" s="2" t="str">
        <x:v>2034E</x:v>
      </x:c>
      <x:c r="D35" s="3" t="n">
        <x:f>'Forecast'!L11</x:f>
        <x:v>19664.404651987017</x:v>
      </x:c>
      <x:c r="E35" s="3" t="n">
        <x:f>'Forecast'!L20</x:f>
        <x:v>4745.320105294358</x:v>
      </x:c>
      <x:c r="F35" s="3" t="n">
        <x:f>'Forecast'!L36</x:f>
        <x:v>1918.5507084980777</x:v>
      </x:c>
      <x:c r="G35" s="36" t="n">
        <x:f>'Forecast'!L37</x:f>
        <x:v>0.09756464751676146</x:v>
      </x:c>
      <x:c r="H35" s="3"/>
      <x:c r="I35" s="3" t="str">
        <x:v>Baza bilansowa pozostaje przybliżona.</x:v>
      </x:c>
      <x:c r="J35" s="3"/>
      <x:c r="K35" s="3"/>
      <x:c r="L35" s="3"/>
      <x:c r="M35" s="3"/>
      <x:c r="N35" s="3"/>
      <x:c r="O35" s="3"/>
      <x:c r="P35" s="2"/>
    </x:row>
    <x:row r="36" ht="21" customHeight="1">
      <x:c r="A36" s="2"/>
      <x:c r="B36" s="2"/>
      <x:c r="C36" s="2" t="str">
        <x:v>2035E</x:v>
      </x:c>
      <x:c r="D36" s="3" t="n">
        <x:f>'Forecast'!M11</x:f>
        <x:v>20344.781066212025</x:v>
      </x:c>
      <x:c r="E36" s="3" t="n">
        <x:f>'Forecast'!M20</x:f>
        <x:v>4911.469285761771</x:v>
      </x:c>
      <x:c r="F36" s="3" t="n">
        <x:f>'Forecast'!M36</x:f>
        <x:v>1987.9818376018661</x:v>
      </x:c>
      <x:c r="G36" s="36" t="n">
        <x:f>'Forecast'!M37</x:f>
        <x:v>0.09771458494107091</x:v>
      </x:c>
      <x:c r="H36" s="3"/>
      <x:c r="I36" s="3"/>
      <x:c r="J36" s="3"/>
      <x:c r="K36" s="3"/>
      <x:c r="L36" s="3"/>
      <x:c r="M36" s="3"/>
      <x:c r="N36" s="3"/>
      <x:c r="O36" s="3"/>
      <x:c r="P36" s="2"/>
    </x:row>
    <x:row r="37" ht="21" customHeight="1">
      <x:c r="A37" s="2"/>
      <x:c r="B37" s="2"/>
      <x:c r="C37" s="2" t="str">
        <x:v>2036E</x:v>
      </x:c>
      <x:c r="D37" s="3" t="n">
        <x:f>'Forecast'!N11</x:f>
        <x:v>21048.902624166814</x:v>
      </x:c>
      <x:c r="E37" s="3" t="n">
        <x:f>'Forecast'!N20</x:f>
        <x:v>5083.445897988269</x:v>
      </x:c>
      <x:c r="F37" s="3" t="n">
        <x:f>'Forecast'!N36</x:f>
        <x:v>2058.2600577623775</x:v>
      </x:c>
      <x:c r="G37" s="36" t="n">
        <x:f>'Forecast'!N37</x:f>
        <x:v>0.09778467288832594</x:v>
      </x:c>
      <x:c r="H37" s="3"/>
      <x:c r="I37" s="3"/>
      <x:c r="J37" s="3"/>
      <x:c r="K37" s="3"/>
      <x:c r="L37" s="3"/>
      <x:c r="M37" s="3"/>
      <x:c r="N37" s="3"/>
      <x:c r="O37" s="3"/>
      <x:c r="P37" s="2"/>
    </x:row>
    <x:row r="38" ht="21" customHeight="1">
      <x:c r="A38" s="2"/>
      <x:c r="B38" s="2"/>
      <x:c r="C38" s="2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2"/>
    </x:row>
    <x:row r="39" ht="21" customHeight="1">
      <x:c r="A39" s="2"/>
      <x:c r="B39" s="2"/>
      <x:c r="C39" s="2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2"/>
    </x:row>
    <x:row r="40" ht="21" customHeight="1">
      <x:c r="A40" s="2"/>
      <x:c r="B40" s="2"/>
      <x:c r="C40" s="2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2"/>
    </x:row>
    <x:row r="41" ht="21" customHeight="1">
      <x:c r="A41" s="2"/>
      <x:c r="B41" s="2"/>
      <x:c r="C41" s="28" t="str">
        <x:v>Prognozy własne. Kurs historyczny, bez wyceny w czasie rzeczywistym. Brak weryfikacji wobec konsensusu analityków.</x:v>
      </x:c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2"/>
    </x:row>
    <x:row r="42" ht="21" customHeight="1">
      <x:c r="A42" s="2"/>
      <x:c r="B42" s="2"/>
      <x:c r="C42" s="28" t="str">
        <x:v>WACC i CAPM: parametry założone. Wynik jest scenariuszem analitycznym, nie precyzyjną obserwacją wartości rynkowej.</x:v>
      </x:c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2"/>
    </x:row>
    <x:row r="43" ht="21" customHeight="1">
      <x:c r="A43" s="2"/>
      <x:c r="B43" s="2"/>
      <x:c r="C43" s="28" t="str">
        <x:v>Dług, udziały i liczba akcji: H1 2026. Korekta o późniejsze wykupy nie zastępuje bieżącego bilansu.</x:v>
      </x:c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2"/>
    </x:row>
    <x:row r="44" ht="21" customHeight="1">
      <x:c r="A44" s="2"/>
      <x:c r="B44" s="2"/>
      <x:c r="C44" s="28" t="str">
        <x:v>Pozostałe 56 dni 2026: proporcjonalna część rocznego FCFF. Model nie odwzorowuje sezonowości Q4.</x:v>
      </x:c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2"/>
    </x:row>
    <x:row r="45" ht="21" customHeight="1">
      <x:c r="A45" s="2"/>
      <x:c r="B45" s="2"/>
      <x:c r="C45" s="28" t="str">
        <x:v>SBC pozostaje kosztem. Czynsze odjęte w FCFF. Dług leasingowy nie jest dodatkowo odejmowany od wartości firmy.</x:v>
      </x:c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2"/>
    </x:row>
    <x:row r="46" ht="21" customHeight="1">
      <x:c r="A46" s="2"/>
      <x:c r="B46" s="2"/>
      <x:c r="C46" s="28" t="str">
        <x:v>30% redukcja wartości notowanych udziałów jest hipotezą. Mniejszości wyceniono księgowo, stowarzyszonym przypisano zero.</x:v>
      </x:c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2"/>
    </x:row>
    <x:row r="47" ht="21" customHeight="1">
      <x:c r="A47" s="2"/>
      <x:c r="B47" s="2"/>
      <x:c r="C47" s="28" t="str">
        <x:v>Nie potrącono innych rezerw i 47 mln zobowiązań warunkowych ze względu na niepewny skład i możliwe dublowanie przepływów.</x:v>
      </x:c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2"/>
    </x:row>
    <x:row r="48" ht="21" customHeight="1">
      <x:c r="A48" s="2"/>
      <x:c r="B48" s="2"/>
      <x:c r="C48" s="28" t="str">
        <x:v>Materiał edukacyjny. Nie stanowi rekomendacji inwestycyjnej.</x:v>
      </x:c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2"/>
    </x:row>
    <x:row r="49" ht="21" customHeight="1">
      <x:c r="A49" s="2"/>
      <x:c r="B49" s="2"/>
      <x:c r="C49" s="2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2"/>
    </x:row>
    <x:row r="50" ht="21" customHeight="1">
      <x:c r="A50" s="2"/>
      <x:c r="B50" s="2"/>
      <x:c r="C50" s="20" t="str">
        <x:v>Marcus Lepidus</x:v>
      </x:c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2"/>
    </x:row>
    <x:row r="51" ht="21" customHeight="1">
      <x:c r="A51" s="2"/>
      <x:c r="B51" s="2"/>
      <x:c r="C51" s="2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2"/>
    </x:row>
    <x:row r="52" ht="21" customHeight="1">
      <x:c r="A52" s="2"/>
      <x:c r="B52" s="2"/>
      <x:c r="C52" s="2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2"/>
    </x:row>
    <x:row r="53" ht="21" customHeight="1">
      <x:c r="A53" s="2"/>
      <x:c r="B53" s="2"/>
      <x:c r="C53" s="2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2"/>
    </x:row>
    <x:row r="54" ht="21" customHeight="1">
      <x:c r="A54" s="2"/>
      <x:c r="B54" s="2"/>
      <x:c r="C54" s="2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2"/>
    </x:row>
    <x:row r="55" ht="21" customHeight="1">
      <x:c r="A55" s="2"/>
      <x:c r="B55" s="2"/>
      <x:c r="C55" s="2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2"/>
    </x:row>
    <x:row r="56" ht="21" customHeight="1">
      <x:c r="A56" s="2"/>
      <x:c r="B56" s="2"/>
      <x:c r="C56" s="2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2"/>
    </x:row>
    <x:row r="57" ht="21" customHeight="1">
      <x:c r="A57" s="2"/>
      <x:c r="B57" s="2"/>
      <x:c r="C57" s="2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2"/>
    </x:row>
    <x:row r="58" ht="21" customHeight="1">
      <x:c r="A58" s="2"/>
      <x:c r="B58" s="2"/>
      <x:c r="C58" s="2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2"/>
    </x:row>
    <x:row r="59" ht="21" customHeight="1">
      <x:c r="A59" s="2"/>
      <x:c r="B59" s="2"/>
      <x:c r="C59" s="2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2"/>
    </x:row>
    <x:row r="60" ht="21" customHeight="1">
      <x:c r="A60" s="2"/>
      <x:c r="B60" s="2"/>
      <x:c r="C60" s="2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2"/>
    </x:row>
    <x:row r="61" ht="21" customHeight="1">
      <x:c r="A61" s="2"/>
      <x:c r="B61" s="2"/>
      <x:c r="C61" s="2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2"/>
    </x:row>
    <x:row r="62" ht="21" customHeight="1">
      <x:c r="A62" s="2"/>
      <x:c r="B62" s="2"/>
      <x:c r="C62" s="2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2"/>
    </x:row>
    <x:row r="63" ht="21" customHeight="1">
      <x:c r="A63" s="2"/>
      <x:c r="B63" s="2"/>
      <x:c r="C63" s="2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2"/>
    </x:row>
    <x:row r="64" ht="21" customHeight="1">
      <x:c r="A64" s="2"/>
      <x:c r="B64" s="2"/>
      <x:c r="C64" s="2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2"/>
    </x:row>
    <x:row r="65" ht="21" customHeight="1">
      <x:c r="A65" s="2"/>
      <x:c r="B65" s="2"/>
      <x:c r="C65" s="2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2"/>
    </x:row>
    <x:row r="66" ht="21" customHeight="1">
      <x:c r="A66" s="2"/>
      <x:c r="B66" s="2"/>
      <x:c r="C66" s="2"/>
      <x:c r="D66" s="3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2"/>
    </x:row>
    <x:row r="67" ht="21" customHeight="1">
      <x:c r="A67" s="2"/>
      <x:c r="B67" s="2"/>
      <x:c r="C67" s="2"/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2"/>
    </x:row>
    <x:row r="68" ht="21" customHeight="1">
      <x:c r="A68" s="2"/>
      <x:c r="B68" s="2"/>
      <x:c r="C68" s="2"/>
      <x:c r="D68" s="3"/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2"/>
    </x:row>
    <x:row r="69" ht="21" customHeight="1">
      <x:c r="A69" s="2"/>
      <x:c r="B69" s="2"/>
      <x:c r="C69" s="2"/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2"/>
    </x:row>
    <x:row r="70" ht="21" customHeight="1">
      <x:c r="A70" s="2"/>
      <x:c r="B70" s="2"/>
      <x:c r="C70" s="2"/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2"/>
    </x:row>
    <x:row r="71" ht="21" customHeight="1">
      <x:c r="A71" s="2"/>
      <x:c r="B71" s="2"/>
      <x:c r="C71" s="2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2"/>
    </x:row>
    <x:row r="72" ht="21" customHeight="1">
      <x:c r="A72" s="2"/>
      <x:c r="B72" s="2"/>
      <x:c r="C72" s="2"/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2"/>
    </x:row>
    <x:row r="73" ht="21" customHeight="1">
      <x:c r="A73" s="2"/>
      <x:c r="B73" s="2"/>
      <x:c r="C73" s="2"/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2"/>
    </x:row>
    <x:row r="74" ht="21" customHeight="1">
      <x:c r="A74" s="2"/>
      <x:c r="B74" s="2"/>
      <x:c r="C74" s="2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2"/>
    </x:row>
    <x:row r="75" ht="21" customHeight="1">
      <x:c r="A75" s="2"/>
      <x:c r="B75" s="2"/>
      <x:c r="C75" s="2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2"/>
    </x:row>
    <x:row r="76" ht="21" customHeight="1">
      <x:c r="A76" s="2"/>
      <x:c r="B76" s="2"/>
      <x:c r="C76" s="2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2"/>
    </x:row>
    <x:row r="77" ht="21" customHeight="1">
      <x:c r="A77" s="2"/>
      <x:c r="B77" s="2"/>
      <x:c r="C77" s="2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2"/>
    </x:row>
    <x:row r="78" ht="21" customHeight="1">
      <x:c r="A78" s="2"/>
      <x:c r="B78" s="2"/>
      <x:c r="C78" s="2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  <x:c r="P78" s="2"/>
    </x:row>
    <x:row r="79" ht="21" customHeight="1">
      <x:c r="A79" s="2"/>
      <x:c r="B79" s="2"/>
      <x:c r="C79" s="2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2"/>
    </x:row>
    <x:row r="80" ht="21" customHeight="1">
      <x:c r="A80" s="2"/>
      <x:c r="B80" s="2"/>
      <x:c r="C80" s="2"/>
      <x:c r="D80" s="3"/>
      <x:c r="E80" s="3"/>
      <x:c r="F80" s="3"/>
      <x:c r="G80" s="3"/>
      <x:c r="H80" s="3"/>
      <x:c r="I80" s="3"/>
      <x:c r="J80" s="3"/>
      <x:c r="K80" s="3"/>
      <x:c r="L80" s="3"/>
      <x:c r="M80" s="3"/>
      <x:c r="N80" s="3"/>
      <x:c r="O80" s="3"/>
      <x:c r="P80" s="2"/>
    </x:row>
    <x:row r="81" ht="21" customHeight="1">
      <x:c r="A81" s="2"/>
      <x:c r="B81" s="2"/>
      <x:c r="C81" s="2"/>
      <x:c r="D81" s="3"/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  <x:c r="P81" s="2"/>
    </x:row>
    <x:row r="82" ht="21" customHeight="1">
      <x:c r="A82" s="2"/>
      <x:c r="B82" s="2"/>
      <x:c r="C82" s="2"/>
      <x:c r="D82" s="3"/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2"/>
    </x:row>
    <x:row r="83" ht="21" customHeight="1">
      <x:c r="A83" s="2"/>
      <x:c r="B83" s="2"/>
      <x:c r="C83" s="2"/>
      <x:c r="D83" s="3"/>
      <x:c r="E83" s="3"/>
      <x:c r="F83" s="3"/>
      <x:c r="G83" s="3"/>
      <x:c r="H83" s="3"/>
      <x:c r="I83" s="3"/>
      <x:c r="J83" s="3"/>
      <x:c r="K83" s="3"/>
      <x:c r="L83" s="3"/>
      <x:c r="M83" s="3"/>
      <x:c r="N83" s="3"/>
      <x:c r="O83" s="3"/>
      <x:c r="P83" s="2"/>
    </x:row>
    <x:row r="84" ht="21" customHeight="1">
      <x:c r="A84" s="2"/>
      <x:c r="B84" s="2"/>
      <x:c r="C84" s="2"/>
      <x:c r="D84" s="3"/>
      <x:c r="E84" s="3"/>
      <x:c r="F84" s="3"/>
      <x:c r="G84" s="3"/>
      <x:c r="H84" s="3"/>
      <x:c r="I84" s="3"/>
      <x:c r="J84" s="3"/>
      <x:c r="K84" s="3"/>
      <x:c r="L84" s="3"/>
      <x:c r="M84" s="3"/>
      <x:c r="N84" s="3"/>
      <x:c r="O84" s="3"/>
      <x:c r="P84" s="2"/>
    </x:row>
    <x:row r="85" ht="21" customHeight="1">
      <x:c r="A85" s="2"/>
      <x:c r="B85" s="2"/>
      <x:c r="C85" s="2"/>
      <x:c r="D85" s="3"/>
      <x:c r="E85" s="3"/>
      <x:c r="F85" s="3"/>
      <x:c r="G85" s="3"/>
      <x:c r="H85" s="3"/>
      <x:c r="I85" s="3"/>
      <x:c r="J85" s="3"/>
      <x:c r="K85" s="3"/>
      <x:c r="L85" s="3"/>
      <x:c r="M85" s="3"/>
      <x:c r="N85" s="3"/>
      <x:c r="O85" s="3"/>
      <x:c r="P85" s="2"/>
    </x:row>
    <x:row r="86" ht="21" customHeight="1">
      <x:c r="A86" s="2"/>
      <x:c r="B86" s="2"/>
      <x:c r="C86" s="2"/>
      <x:c r="D86" s="3"/>
      <x:c r="E86" s="3"/>
      <x:c r="F86" s="3"/>
      <x:c r="G86" s="3"/>
      <x:c r="H86" s="3"/>
      <x:c r="I86" s="3"/>
      <x:c r="J86" s="3"/>
      <x:c r="K86" s="3"/>
      <x:c r="L86" s="3"/>
      <x:c r="M86" s="3"/>
      <x:c r="N86" s="3"/>
      <x:c r="O86" s="3"/>
      <x:c r="P86" s="2"/>
    </x:row>
    <x:row r="87" ht="21" customHeight="1">
      <x:c r="A87" s="2"/>
      <x:c r="B87" s="2"/>
      <x:c r="C87" s="2"/>
      <x:c r="D87" s="3"/>
      <x:c r="E87" s="3"/>
      <x:c r="F87" s="3"/>
      <x:c r="G87" s="3"/>
      <x:c r="H87" s="3"/>
      <x:c r="I87" s="3"/>
      <x:c r="J87" s="3"/>
      <x:c r="K87" s="3"/>
      <x:c r="L87" s="3"/>
      <x:c r="M87" s="3"/>
      <x:c r="N87" s="3"/>
      <x:c r="O87" s="3"/>
      <x:c r="P87" s="2"/>
    </x:row>
    <x:row r="88" ht="21" customHeight="1">
      <x:c r="A88" s="2"/>
      <x:c r="B88" s="2"/>
      <x:c r="C88" s="2"/>
      <x:c r="D88" s="3"/>
      <x:c r="E88" s="3"/>
      <x:c r="F88" s="3"/>
      <x:c r="G88" s="3"/>
      <x:c r="H88" s="3"/>
      <x:c r="I88" s="3"/>
      <x:c r="J88" s="3"/>
      <x:c r="K88" s="3"/>
      <x:c r="L88" s="3"/>
      <x:c r="M88" s="3"/>
      <x:c r="N88" s="3"/>
      <x:c r="O88" s="3"/>
      <x:c r="P88" s="2"/>
    </x:row>
    <x:row r="89" ht="21" customHeight="1">
      <x:c r="A89" s="2"/>
      <x:c r="B89" s="2"/>
      <x:c r="C89" s="2"/>
      <x:c r="D89" s="3"/>
      <x:c r="E89" s="3"/>
      <x:c r="F89" s="3"/>
      <x:c r="G89" s="3"/>
      <x:c r="H89" s="3"/>
      <x:c r="I89" s="3"/>
      <x:c r="J89" s="3"/>
      <x:c r="K89" s="3"/>
      <x:c r="L89" s="3"/>
      <x:c r="M89" s="3"/>
      <x:c r="N89" s="3"/>
      <x:c r="O89" s="3"/>
      <x:c r="P89" s="2"/>
    </x:row>
    <x:row r="90" ht="21" customHeight="1">
      <x:c r="A90" s="2"/>
      <x:c r="B90" s="2"/>
      <x:c r="C90" s="2"/>
      <x:c r="D90" s="3"/>
      <x:c r="E90" s="3"/>
      <x:c r="F90" s="3"/>
      <x:c r="G90" s="3"/>
      <x:c r="H90" s="3"/>
      <x:c r="I90" s="3"/>
      <x:c r="J90" s="3"/>
      <x:c r="K90" s="3"/>
      <x:c r="L90" s="3"/>
      <x:c r="M90" s="3"/>
      <x:c r="N90" s="3"/>
      <x:c r="O90" s="3"/>
      <x:c r="P90" s="2"/>
    </x:row>
  </x:sheetData>
  <x:pageMargins left="0.7" right="0.7" top="0.75" bottom="0.75" header="0.3" footer="0.3"/>
  <x:drawing xmlns:r="http://schemas.openxmlformats.org/officeDocument/2006/relationships" r:id="Re18ed8da22fc4acd"/>
</x:worksheet>
</file>

<file path=xl/worksheets/sheet2.xml><?xml version="1.0" encoding="utf-8"?>
<x:worksheet xmlns:x="http://schemas.openxmlformats.org/spreadsheetml/2006/main">
  <x:sheetPr>
    <x:tabColor rgb="FFB37788"/>
  </x:sheetPr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.200000047683716" hidden="0" customWidth="1"/>
    <x:col min="2" max="2" width="2.200000047683716" hidden="0" customWidth="1"/>
    <x:col min="3" max="3" width="47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8" customHeight="1">
      <x:c r="A2" s="2"/>
      <x:c r="B2" s="2"/>
      <x:c r="C2" s="6" t="str">
        <x:v>Założenia DCF i wrażliwość</x:v>
      </x:c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2"/>
      <x:c r="P2" s="2"/>
    </x:row>
    <x:row r="3" ht="23" customHeight="1">
      <x:c r="A3" s="2"/>
      <x:c r="B3" s="2"/>
      <x:c r="C3" s="5" t="str">
        <x:v>Edytowalne pola: niebieskie liczby na jasnym tle. Prognozy i CAPM są założeniami autorskimi.</x:v>
      </x:c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2"/>
      <x:c r="P3" s="2"/>
    </x:row>
    <x:row r="4" ht="21" customHeight="1">
      <x:c r="A4" s="2"/>
      <x:c r="B4" s="2"/>
      <x:c r="C4" s="2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2"/>
    </x:row>
    <x:row r="5" ht="23" customHeight="1">
      <x:c r="A5" s="2"/>
      <x:c r="B5" s="2"/>
      <x:c r="C5" s="10" t="str">
        <x:v>Koszt kapitału</x:v>
      </x:c>
      <x:c r="D5" s="11"/>
      <x:c r="E5" s="11"/>
      <x:c r="F5" s="11"/>
      <x:c r="G5" s="3"/>
      <x:c r="H5" s="3" t="str">
        <x:v>Wartość akcji (EUR): WACC w wierszach, g w kolumnach</x:v>
      </x:c>
      <x:c r="I5" s="3"/>
      <x:c r="J5" s="3"/>
      <x:c r="K5" s="3"/>
      <x:c r="L5" s="3"/>
      <x:c r="M5" s="3"/>
      <x:c r="N5" s="3"/>
      <x:c r="O5" s="3"/>
      <x:c r="P5" s="2"/>
    </x:row>
    <x:row r="6" ht="21" customHeight="1">
      <x:c r="A6" s="2"/>
      <x:c r="B6" s="2"/>
      <x:c r="C6" s="2" t="str">
        <x:v>WACC</x:v>
      </x:c>
      <x:c r="D6" s="3"/>
      <x:c r="E6" s="3"/>
      <x:c r="F6" s="32" t="n">
        <x:f>F12*(1-F14)+F13*(1-F15)*F14</x:f>
        <x:v>0.07725000000000001</x:v>
      </x:c>
      <x:c r="G6" s="3"/>
      <x:c r="H6" s="3"/>
      <x:c r="I6" s="3"/>
      <x:c r="J6" s="3"/>
      <x:c r="K6" s="3"/>
      <x:c r="L6" s="3"/>
      <x:c r="M6" s="3"/>
      <x:c r="N6" s="3"/>
      <x:c r="O6" s="3"/>
      <x:c r="P6" s="2"/>
    </x:row>
    <x:row r="7" ht="21" customHeight="1">
      <x:c r="A7" s="2"/>
      <x:c r="B7" s="2"/>
      <x:c r="C7" s="2" t="str">
        <x:v>Wzrost terminalny g</x:v>
      </x:c>
      <x:c r="D7" s="3"/>
      <x:c r="E7" s="3"/>
      <x:c r="F7" s="33" t="n">
        <x:v>0.025</x:v>
      </x:c>
      <x:c r="G7" s="3"/>
      <x:c r="H7" s="44" t="n">
        <x:f>'Summary'!F5</x:f>
        <x:v>14.64127039805712</x:v>
      </x:c>
      <x:c r="I7" s="45" t="n">
        <x:f>$F$7+(-0.01)</x:f>
        <x:v>0.015000000000000001</x:v>
      </x:c>
      <x:c r="J7" s="45" t="n">
        <x:f>$F$7+(-0.005)</x:f>
        <x:v>0.02</x:v>
      </x:c>
      <x:c r="K7" s="45" t="n">
        <x:f>$F$7+(0)</x:f>
        <x:v>0.025</x:v>
      </x:c>
      <x:c r="L7" s="45" t="n">
        <x:f>$F$7+(0.005)</x:f>
        <x:v>0.030000000000000002</x:v>
      </x:c>
      <x:c r="M7" s="45" t="n">
        <x:f>$F$7+(0.01)</x:f>
        <x:v>0.035</x:v>
      </x:c>
      <x:c r="N7" s="45" t="n">
        <x:f>$F$7+(0.015)</x:f>
        <x:v>0.04</x:v>
      </x:c>
      <x:c r="O7" s="3"/>
      <x:c r="P7" s="2"/>
    </x:row>
    <x:row r="8" ht="21" customHeight="1">
      <x:c r="A8" s="2"/>
      <x:c r="B8" s="2"/>
      <x:c r="C8" s="2" t="str">
        <x:v>Pozostała część 2026</x:v>
      </x:c>
      <x:c r="D8" s="3"/>
      <x:c r="E8" s="3"/>
      <x:c r="F8" s="32" t="n">
        <x:f>F16/365</x:f>
        <x:v>0.15342465753424658</x:v>
      </x:c>
      <x:c r="G8" s="3"/>
      <x:c r="H8" s="47" t="n">
        <x:f>$F$6+(-0.015)</x:f>
        <x:v>0.062250000000000014</x:v>
      </x:c>
      <x:c r="I8" s="26" t="n">
        <x:f t="dataTable" ref="I8:N14" dt2D="1" r1="F7" r2="F6"/>
        <x:v>17.9672151894823</x:v>
      </x:c>
      <x:c r="J8" s="26" t="n">
        <x:v>19.532629429265</x:v>
      </x:c>
      <x:c r="K8" s="26" t="n">
        <x:v>21.5182891025463</x:v>
      </x:c>
      <x:c r="L8" s="26" t="n">
        <x:v>24.1196572016513</x:v>
      </x:c>
      <x:c r="M8" s="26" t="n">
        <x:v>27.6756557958408</x:v>
      </x:c>
      <x:c r="N8" s="26" t="n">
        <x:v>32.8298560053962</x:v>
      </x:c>
      <x:c r="O8" s="3"/>
      <x:c r="P8" s="2"/>
    </x:row>
    <x:row r="9" ht="21" customHeight="1">
      <x:c r="A9" s="2"/>
      <x:c r="B9" s="2"/>
      <x:c r="C9" s="2" t="str">
        <x:v>Kurs odniesienia (EUR)</x:v>
      </x:c>
      <x:c r="D9" s="3"/>
      <x:c r="E9" s="3"/>
      <x:c r="F9" s="34" t="n">
        <x:f>'Actuals'!D42</x:f>
        <x:v>17.58</x:v>
      </x:c>
      <x:c r="G9" s="3"/>
      <x:c r="H9" s="47" t="n">
        <x:f>$F$6+(-0.01)</x:f>
        <x:v>0.06725000000000002</x:v>
      </x:c>
      <x:c r="I9" s="26" t="n">
        <x:v>15.9809269743007</x:v>
      </x:c>
      <x:c r="J9" s="26" t="n">
        <x:v>17.1878701017388</x:v>
      </x:c>
      <x:c r="K9" s="26" t="n">
        <x:v>18.6804802415883</x:v>
      </x:c>
      <x:c r="L9" s="26" t="n">
        <x:v>20.5737910901222</x:v>
      </x:c>
      <x:c r="M9" s="26" t="n">
        <x:v>23.0541750699845</x:v>
      </x:c>
      <x:c r="N9" s="26" t="n">
        <x:v>26.4447917030072</x:v>
      </x:c>
      <x:c r="O9" s="3"/>
      <x:c r="P9" s="2"/>
    </x:row>
    <x:row r="10" ht="21" customHeight="1">
      <x:c r="A10" s="2"/>
      <x:c r="B10" s="2"/>
      <x:c r="C10" s="2"/>
      <x:c r="D10" s="3"/>
      <x:c r="E10" s="3"/>
      <x:c r="F10" s="3"/>
      <x:c r="G10" s="3"/>
      <x:c r="H10" s="47" t="n">
        <x:f>$F$6+(-0.005)</x:f>
        <x:v>0.07225000000000001</x:v>
      </x:c>
      <x:c r="I10" s="26" t="n">
        <x:v>14.3448201709324</x:v>
      </x:c>
      <x:c r="J10" s="26" t="n">
        <x:v>15.2948276392583</x:v>
      </x:c>
      <x:c r="K10" s="26" t="n">
        <x:v>16.4458948892404</x:v>
      </x:c>
      <x:c r="L10" s="26" t="n">
        <x:v>17.869404091881</x:v>
      </x:c>
      <x:c r="M10" s="26" t="n">
        <x:v>19.6750634160359</x:v>
      </x:c>
      <x:c r="N10" s="26" t="n">
        <x:v>22.0406171042699</x:v>
      </x:c>
      <x:c r="O10" s="3"/>
      <x:c r="P10" s="2"/>
    </x:row>
    <x:row r="11" ht="21" customHeight="1">
      <x:c r="A11" s="2"/>
      <x:c r="B11" s="2"/>
      <x:c r="C11" s="2" t="str">
        <x:v>Stopa wolna od ryzyka</x:v>
      </x:c>
      <x:c r="D11" s="3"/>
      <x:c r="E11" s="3"/>
      <x:c r="F11" s="35" t="n">
        <x:v>0.03</x:v>
      </x:c>
      <x:c r="G11" s="3"/>
      <x:c r="H11" s="47" t="n">
        <x:f>$F$6+(0)</x:f>
        <x:v>0.07725000000000001</x:v>
      </x:c>
      <x:c r="I11" s="26" t="n">
        <x:v>12.9743958118899</x:v>
      </x:c>
      <x:c r="J11" s="26" t="n">
        <x:v>13.7350438217347</x:v>
      </x:c>
      <x:c r="K11" s="48" t="n">
        <x:v>14.6412703980571</x:v>
      </x:c>
      <x:c r="L11" s="26" t="n">
        <x:v>15.7392909587863</x:v>
      </x:c>
      <x:c r="M11" s="26" t="n">
        <x:v>17.0971980427651</x:v>
      </x:c>
      <x:c r="N11" s="26" t="n">
        <x:v>18.8196439412348</x:v>
      </x:c>
      <x:c r="O11" s="3"/>
      <x:c r="P11" s="2"/>
    </x:row>
    <x:row r="12" ht="21" customHeight="1">
      <x:c r="A12" s="2"/>
      <x:c r="B12" s="2"/>
      <x:c r="C12" s="2" t="str">
        <x:v>Koszt kapitału własnego</x:v>
      </x:c>
      <x:c r="D12" s="3"/>
      <x:c r="E12" s="3"/>
      <x:c r="F12" s="36" t="n">
        <x:f>F11+F17*F18</x:f>
        <x:v>0.0825</x:v>
      </x:c>
      <x:c r="G12" s="3"/>
      <x:c r="H12" s="47" t="n">
        <x:f>$F$6+(0.005)</x:f>
        <x:v>0.08225000000000002</x:v>
      </x:c>
      <x:c r="I12" s="26" t="n">
        <x:v>11.8102898972637</x:v>
      </x:c>
      <x:c r="J12" s="26" t="n">
        <x:v>12.4281237572935</x:v>
      </x:c>
      <x:c r="K12" s="26" t="n">
        <x:v>13.1538761954944</x:v>
      </x:c>
      <x:c r="L12" s="26" t="n">
        <x:v>14.0185286218677</x:v>
      </x:c>
      <x:c r="M12" s="26" t="n">
        <x:v>15.066176270754</x:v>
      </x:c>
      <x:c r="N12" s="26" t="n">
        <x:v>16.3617878602049</x:v>
      </x:c>
      <x:c r="O12" s="3"/>
      <x:c r="P12" s="2"/>
    </x:row>
    <x:row r="13" ht="21" customHeight="1">
      <x:c r="A13" s="2"/>
      <x:c r="B13" s="2"/>
      <x:c r="C13" s="2" t="str">
        <x:v>Koszt długu przed podatkiem</x:v>
      </x:c>
      <x:c r="D13" s="3"/>
      <x:c r="E13" s="3"/>
      <x:c r="F13" s="35" t="n">
        <x:v>0.04</x:v>
      </x:c>
      <x:c r="G13" s="3"/>
      <x:c r="H13" s="47" t="n">
        <x:f>$F$6+(0.01)</x:f>
        <x:v>0.08725000000000001</x:v>
      </x:c>
      <x:c r="I13" s="26" t="n">
        <x:v>10.8095759154522</x:v>
      </x:c>
      <x:c r="J13" s="26" t="n">
        <x:v>11.3175857268129</x:v>
      </x:c>
      <x:c r="K13" s="26" t="n">
        <x:v>11.9072035399987</x:v>
      </x:c>
      <x:c r="L13" s="26" t="n">
        <x:v>12.5998113642212</x:v>
      </x:c>
      <x:c r="M13" s="26" t="n">
        <x:v>13.424975709826</x:v>
      </x:c>
      <x:c r="N13" s="26" t="n">
        <x:v>14.4247780121726</x:v>
      </x:c>
      <x:c r="O13" s="3"/>
      <x:c r="P13" s="2"/>
    </x:row>
    <x:row r="14" ht="21" customHeight="1">
      <x:c r="A14" s="2"/>
      <x:c r="B14" s="2"/>
      <x:c r="C14" s="2" t="str">
        <x:v>Udział długu w finansowaniu</x:v>
      </x:c>
      <x:c r="D14" s="3"/>
      <x:c r="E14" s="3"/>
      <x:c r="F14" s="35" t="n">
        <x:v>0.1</x:v>
      </x:c>
      <x:c r="G14" s="3"/>
      <x:c r="H14" s="47" t="n">
        <x:f>$F$6+(0.015)</x:f>
        <x:v>0.09225000000000001</x:v>
      </x:c>
      <x:c r="I14" s="26" t="n">
        <x:v>9.940445040175</x:v>
      </x:c>
      <x:c r="J14" s="26" t="n">
        <x:v>10.3625865375959</x:v>
      </x:c>
      <x:c r="K14" s="26" t="n">
        <x:v>10.8475000048936</x:v>
      </x:c>
      <x:c r="L14" s="26" t="n">
        <x:v>11.4103112179418</x:v>
      </x:c>
      <x:c r="M14" s="26" t="n">
        <x:v>12.071430066457</x:v>
      </x:c>
      <x:c r="N14" s="26" t="n">
        <x:v>12.859078838133</x:v>
      </x:c>
      <x:c r="O14" s="3"/>
      <x:c r="P14" s="2"/>
    </x:row>
    <x:row r="15" ht="21" customHeight="1">
      <x:c r="A15" s="2"/>
      <x:c r="B15" s="2"/>
      <x:c r="C15" s="2" t="str">
        <x:v>Stawka podatku</x:v>
      </x:c>
      <x:c r="D15" s="3"/>
      <x:c r="E15" s="3"/>
      <x:c r="F15" s="35" t="n">
        <x:v>0.25</x:v>
      </x:c>
      <x:c r="G15" s="3"/>
      <x:c r="H15" s="3"/>
      <x:c r="I15" s="3"/>
      <x:c r="J15" s="3"/>
      <x:c r="K15" s="3"/>
      <x:c r="L15" s="3"/>
      <x:c r="M15" s="3"/>
      <x:c r="N15" s="3"/>
      <x:c r="O15" s="3"/>
      <x:c r="P15" s="2"/>
    </x:row>
    <x:row r="16" ht="21" customHeight="1">
      <x:c r="A16" s="2"/>
      <x:c r="B16" s="2"/>
      <x:c r="C16" s="2" t="str">
        <x:v>Pozostałe dni 2026</x:v>
      </x:c>
      <x:c r="D16" s="3"/>
      <x:c r="E16" s="3"/>
      <x:c r="F16" s="30" t="n">
        <x:v>56</x:v>
      </x:c>
      <x:c r="G16" s="3"/>
      <x:c r="H16" s="3"/>
      <x:c r="I16" s="3"/>
      <x:c r="J16" s="3"/>
      <x:c r="K16" s="3"/>
      <x:c r="L16" s="3"/>
      <x:c r="M16" s="3"/>
      <x:c r="N16" s="3"/>
      <x:c r="O16" s="3"/>
      <x:c r="P16" s="2"/>
    </x:row>
    <x:row r="17" ht="21" customHeight="1">
      <x:c r="A17" s="2"/>
      <x:c r="B17" s="2"/>
      <x:c r="C17" s="2" t="str">
        <x:v>Beta założona</x:v>
      </x:c>
      <x:c r="D17" s="3"/>
      <x:c r="E17" s="3"/>
      <x:c r="F17" s="37" t="n">
        <x:v>1.05</x:v>
      </x:c>
      <x:c r="G17" s="3"/>
      <x:c r="H17" s="19" t="str">
        <x:v>Tabela What-If zmienia rzeczywiste wejścia F6 i F7.</x:v>
      </x:c>
      <x:c r="I17" s="3"/>
      <x:c r="J17" s="3"/>
      <x:c r="K17" s="3"/>
      <x:c r="L17" s="3"/>
      <x:c r="M17" s="3"/>
      <x:c r="N17" s="3"/>
      <x:c r="O17" s="3"/>
      <x:c r="P17" s="2"/>
    </x:row>
    <x:row r="18" ht="21" customHeight="1">
      <x:c r="A18" s="2"/>
      <x:c r="B18" s="2"/>
      <x:c r="C18" s="2" t="str">
        <x:v>Premia za ryzyko akcji</x:v>
      </x:c>
      <x:c r="D18" s="3"/>
      <x:c r="E18" s="3"/>
      <x:c r="F18" s="35" t="n">
        <x:v>0.05</x:v>
      </x:c>
      <x:c r="G18" s="3"/>
      <x:c r="H18" s="19" t="str">
        <x:v>Scenariusze zachowują ten sam prognozowany biznes.</x:v>
      </x:c>
      <x:c r="I18" s="3"/>
      <x:c r="J18" s="3"/>
      <x:c r="K18" s="3"/>
      <x:c r="L18" s="3"/>
      <x:c r="M18" s="3"/>
      <x:c r="N18" s="3"/>
      <x:c r="O18" s="3"/>
      <x:c r="P18" s="2"/>
    </x:row>
    <x:row r="19" ht="21" customHeight="1">
      <x:c r="A19" s="2"/>
      <x:c r="B19" s="2"/>
      <x:c r="C19" s="2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  <x:c r="P19" s="2"/>
    </x:row>
    <x:row r="20" ht="21" customHeight="1">
      <x:c r="A20" s="2"/>
      <x:c r="B20" s="2"/>
      <x:c r="C20" s="2"/>
      <x:c r="D20" s="3"/>
      <x:c r="E20" s="3"/>
      <x:c r="F20" s="3"/>
      <x:c r="G20" s="3"/>
      <x:c r="H20" s="19" t="str">
        <x:v>Baza bilansowa: H1 2026, bez pełnej aktualizacji do listopada.</x:v>
      </x:c>
      <x:c r="I20" s="3"/>
      <x:c r="J20" s="3"/>
      <x:c r="K20" s="3"/>
      <x:c r="L20" s="3"/>
      <x:c r="M20" s="3"/>
      <x:c r="N20" s="3"/>
      <x:c r="O20" s="3"/>
      <x:c r="P20" s="2"/>
    </x:row>
    <x:row r="21" ht="23" customHeight="1">
      <x:c r="A21" s="2"/>
      <x:c r="B21" s="2"/>
      <x:c r="C21" s="10" t="str">
        <x:v>Most wartości kapitału własnego</x:v>
      </x:c>
      <x:c r="D21" s="11"/>
      <x:c r="E21" s="11"/>
      <x:c r="F21" s="11"/>
      <x:c r="G21" s="3"/>
      <x:c r="H21" s="19" t="str">
        <x:v>Korekta wykupów nie uwzględnia innych późniejszych przepływów.</x:v>
      </x:c>
      <x:c r="I21" s="3"/>
      <x:c r="J21" s="3"/>
      <x:c r="K21" s="3"/>
      <x:c r="L21" s="3"/>
      <x:c r="M21" s="3"/>
      <x:c r="N21" s="3"/>
      <x:c r="O21" s="3"/>
      <x:c r="P21" s="2"/>
    </x:row>
    <x:row r="22" ht="21" customHeight="1">
      <x:c r="A22" s="2"/>
      <x:c r="B22" s="2"/>
      <x:c r="C22" s="2" t="str">
        <x:v>Dług netto bez leasingu — H1</x:v>
      </x:c>
      <x:c r="D22" s="3"/>
      <x:c r="E22" s="3"/>
      <x:c r="F22" s="31" t="n">
        <x:f>'Actuals'!G26</x:f>
        <x:v>4131</x:v>
      </x:c>
      <x:c r="G22" s="3"/>
      <x:c r="H22" s="19" t="str">
        <x:v>Redukcja udziałów o 30%: hipotetyczne podatki, artyści i ceny.</x:v>
      </x:c>
      <x:c r="I22" s="3"/>
      <x:c r="J22" s="3"/>
      <x:c r="K22" s="3"/>
      <x:c r="L22" s="3"/>
      <x:c r="M22" s="3"/>
      <x:c r="N22" s="3"/>
      <x:c r="O22" s="3"/>
      <x:c r="P22" s="2"/>
    </x:row>
    <x:row r="23" ht="21" customHeight="1">
      <x:c r="A23" s="2"/>
      <x:c r="B23" s="2"/>
      <x:c r="C23" s="2" t="str">
        <x:v>Wykupy po H1 — korekta przybliżona</x:v>
      </x:c>
      <x:c r="D23" s="3"/>
      <x:c r="E23" s="3"/>
      <x:c r="F23" s="30" t="n">
        <x:v>264</x:v>
      </x:c>
      <x:c r="G23" s="3"/>
      <x:c r="H23" s="19" t="str">
        <x:v>Liczba akcji: średnia rozwodniona H1, bez późniejszej akrecji.</x:v>
      </x:c>
      <x:c r="I23" s="3"/>
      <x:c r="J23" s="3"/>
      <x:c r="K23" s="3"/>
      <x:c r="L23" s="3"/>
      <x:c r="M23" s="3"/>
      <x:c r="N23" s="3"/>
      <x:c r="O23" s="3"/>
      <x:c r="P23" s="2"/>
    </x:row>
    <x:row r="24" ht="21" customHeight="1">
      <x:c r="A24" s="2"/>
      <x:c r="B24" s="2"/>
      <x:c r="C24" s="22" t="str">
        <x:v>Dług netto użyty w wycenie</x:v>
      </x:c>
      <x:c r="D24" s="40"/>
      <x:c r="E24" s="40"/>
      <x:c r="F24" s="40" t="n">
        <x:f>SUM(F22:F23)</x:f>
        <x:v>4395</x:v>
      </x:c>
      <x:c r="G24" s="3"/>
      <x:c r="H24" s="19" t="str">
        <x:v>Mniejszości: przybliżenie księgowe. Stowarzyszone: zero.</x:v>
      </x:c>
      <x:c r="I24" s="3"/>
      <x:c r="J24" s="3"/>
      <x:c r="K24" s="3"/>
      <x:c r="L24" s="3"/>
      <x:c r="M24" s="3"/>
      <x:c r="N24" s="3"/>
      <x:c r="O24" s="3"/>
      <x:c r="P24" s="2"/>
    </x:row>
    <x:row r="25" ht="21" customHeight="1">
      <x:c r="A25" s="2"/>
      <x:c r="B25" s="2"/>
      <x:c r="C25" s="2" t="str">
        <x:v>Notowane udziały brutto — H1</x:v>
      </x:c>
      <x:c r="D25" s="3"/>
      <x:c r="E25" s="3"/>
      <x:c r="F25" s="31" t="n">
        <x:f>'Actuals'!G27</x:f>
        <x:v>2295</x:v>
      </x:c>
      <x:c r="G25" s="3"/>
      <x:c r="H25" s="19" t="str">
        <x:v>Nie doliczamy odrębnej wartości licencji AI ani przyszłego M&amp;A.</x:v>
      </x:c>
      <x:c r="I25" s="3"/>
      <x:c r="J25" s="3"/>
      <x:c r="K25" s="3"/>
      <x:c r="L25" s="3"/>
      <x:c r="M25" s="3"/>
      <x:c r="N25" s="3"/>
      <x:c r="O25" s="3"/>
      <x:c r="P25" s="2"/>
    </x:row>
    <x:row r="26" ht="21" customHeight="1">
      <x:c r="A26" s="2"/>
      <x:c r="B26" s="2"/>
      <x:c r="C26" s="2" t="str">
        <x:v>Część wartości zachowana</x:v>
      </x:c>
      <x:c r="D26" s="3"/>
      <x:c r="E26" s="3"/>
      <x:c r="F26" s="35" t="n">
        <x:v>0.7</x:v>
      </x:c>
      <x:c r="G26" s="3"/>
      <x:c r="H26" s="3"/>
      <x:c r="I26" s="3"/>
      <x:c r="J26" s="3"/>
      <x:c r="K26" s="3"/>
      <x:c r="L26" s="3"/>
      <x:c r="M26" s="3"/>
      <x:c r="N26" s="3"/>
      <x:c r="O26" s="3"/>
      <x:c r="P26" s="2"/>
    </x:row>
    <x:row r="27" ht="21" customHeight="1">
      <x:c r="A27" s="2"/>
      <x:c r="B27" s="2"/>
      <x:c r="C27" s="22" t="str">
        <x:v>Notowane udziały po redukcji</x:v>
      </x:c>
      <x:c r="D27" s="40"/>
      <x:c r="E27" s="40"/>
      <x:c r="F27" s="40" t="n">
        <x:f>F25*F26</x:f>
        <x:v>1606.5</x:v>
      </x:c>
      <x:c r="G27" s="3"/>
      <x:c r="H27" s="3"/>
      <x:c r="I27" s="3"/>
      <x:c r="J27" s="3"/>
      <x:c r="K27" s="3"/>
      <x:c r="L27" s="3"/>
      <x:c r="M27" s="3"/>
      <x:c r="N27" s="3"/>
      <x:c r="O27" s="3"/>
      <x:c r="P27" s="2"/>
    </x:row>
    <x:row r="28" ht="21" customHeight="1">
      <x:c r="A28" s="2"/>
      <x:c r="B28" s="2"/>
      <x:c r="C28" s="2" t="str">
        <x:v>Mniejszości — wartość księgowa</x:v>
      </x:c>
      <x:c r="D28" s="3"/>
      <x:c r="E28" s="3"/>
      <x:c r="F28" s="31" t="n">
        <x:f>'Actuals'!G29</x:f>
        <x:v>22</x:v>
      </x:c>
      <x:c r="G28" s="3"/>
      <x:c r="H28" s="3"/>
      <x:c r="I28" s="3"/>
      <x:c r="J28" s="3"/>
      <x:c r="K28" s="3"/>
      <x:c r="L28" s="3"/>
      <x:c r="M28" s="3"/>
      <x:c r="N28" s="3"/>
      <x:c r="O28" s="3"/>
      <x:c r="P28" s="2"/>
    </x:row>
    <x:row r="29" ht="21" customHeight="1">
      <x:c r="A29" s="2"/>
      <x:c r="B29" s="2"/>
      <x:c r="C29" s="2" t="str">
        <x:v>Dodatkowa wartość stowarzyszonych</x:v>
      </x:c>
      <x:c r="D29" s="3"/>
      <x:c r="E29" s="3"/>
      <x:c r="F29" s="30" t="n">
        <x:v>0</x:v>
      </x:c>
      <x:c r="G29" s="3"/>
      <x:c r="H29" s="3"/>
      <x:c r="I29" s="3"/>
      <x:c r="J29" s="3"/>
      <x:c r="K29" s="3"/>
      <x:c r="L29" s="3"/>
      <x:c r="M29" s="3"/>
      <x:c r="N29" s="3"/>
      <x:c r="O29" s="3"/>
      <x:c r="P29" s="2"/>
    </x:row>
    <x:row r="30" ht="21" customHeight="1">
      <x:c r="A30" s="2"/>
      <x:c r="B30" s="2"/>
      <x:c r="C30" s="2" t="str">
        <x:v>Rozwodniona liczba akcji (mln)</x:v>
      </x:c>
      <x:c r="D30" s="3"/>
      <x:c r="E30" s="3"/>
      <x:c r="F30" s="38" t="n">
        <x:f>'Actuals'!G31</x:f>
        <x:v>1846</x:v>
      </x:c>
      <x:c r="G30" s="3"/>
      <x:c r="H30" s="3"/>
      <x:c r="I30" s="3"/>
      <x:c r="J30" s="3"/>
      <x:c r="K30" s="3"/>
      <x:c r="L30" s="3"/>
      <x:c r="M30" s="3"/>
      <x:c r="N30" s="3"/>
      <x:c r="O30" s="3"/>
      <x:c r="P30" s="2"/>
    </x:row>
    <x:row r="31" ht="21" customHeight="1">
      <x:c r="A31" s="2"/>
      <x:c r="B31" s="2"/>
      <x:c r="C31" s="2" t="str">
        <x:v>Deficyt emerytalny — koniec 2025</x:v>
      </x:c>
      <x:c r="D31" s="3"/>
      <x:c r="E31" s="3"/>
      <x:c r="F31" s="31" t="n">
        <x:f>'Actuals'!F39</x:f>
        <x:v>152</x:v>
      </x:c>
      <x:c r="G31" s="3"/>
      <x:c r="H31" s="3"/>
      <x:c r="I31" s="3"/>
      <x:c r="J31" s="3"/>
      <x:c r="K31" s="3"/>
      <x:c r="L31" s="3"/>
      <x:c r="M31" s="3"/>
      <x:c r="N31" s="3"/>
      <x:c r="O31" s="3"/>
      <x:c r="P31" s="2"/>
    </x:row>
    <x:row r="32" ht="23" customHeight="1">
      <x:c r="A32" s="2"/>
      <x:c r="B32" s="2"/>
      <x:c r="C32" s="10" t="str">
        <x:v>Nakłady, koszty i reinwestycje</x:v>
      </x:c>
      <x:c r="D32" s="11"/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3"/>
      <x:c r="P32" s="2"/>
    </x:row>
    <x:row r="33" ht="21" customHeight="1">
      <x:c r="A33" s="2"/>
      <x:c r="B33" s="2"/>
      <x:c r="C33" s="2" t="str">
        <x:v>Koszty centrali / przychody</x:v>
      </x:c>
      <x:c r="D33" s="3"/>
      <x:c r="E33" s="3"/>
      <x:c r="F33" s="35" t="n">
        <x:v>0.01644245142</x:v>
      </x:c>
      <x:c r="G33" s="3"/>
      <x:c r="H33" s="19" t="str">
        <x:v>Koszt centrali odejmowany od EBITDA segmentów.</x:v>
      </x:c>
      <x:c r="I33" s="3"/>
      <x:c r="J33" s="3"/>
      <x:c r="K33" s="3"/>
      <x:c r="L33" s="3"/>
      <x:c r="M33" s="3"/>
      <x:c r="N33" s="3"/>
      <x:c r="O33" s="3"/>
      <x:c r="P33" s="2"/>
    </x:row>
    <x:row r="34" ht="21" customHeight="1">
      <x:c r="A34" s="2"/>
      <x:c r="B34" s="2"/>
      <x:c r="C34" s="2" t="str">
        <x:v>SBC / przychody</x:v>
      </x:c>
      <x:c r="D34" s="3"/>
      <x:c r="E34" s="3"/>
      <x:c r="F34" s="35" t="n">
        <x:v>0.018</x:v>
      </x:c>
      <x:c r="G34" s="3"/>
      <x:c r="H34" s="19" t="str">
        <x:v>Koszt ekonomiczny. Bez dodawania go z powrotem do FCFF.</x:v>
      </x:c>
      <x:c r="I34" s="3"/>
      <x:c r="J34" s="3"/>
      <x:c r="K34" s="3"/>
      <x:c r="L34" s="3"/>
      <x:c r="M34" s="3"/>
      <x:c r="N34" s="3"/>
      <x:c r="O34" s="3"/>
      <x:c r="P34" s="2"/>
    </x:row>
    <x:row r="35" ht="21" customHeight="1">
      <x:c r="A35" s="2"/>
      <x:c r="B35" s="2"/>
      <x:c r="C35" s="2" t="str">
        <x:v>Czynsze leasingowe / przychody</x:v>
      </x:c>
      <x:c r="D35" s="3"/>
      <x:c r="E35" s="3"/>
      <x:c r="F35" s="35" t="n">
        <x:v>0.008</x:v>
      </x:c>
      <x:c r="G35" s="3"/>
      <x:c r="H35" s="19" t="str">
        <x:v>Leasing traktowany jako koszt operacyjny. Bez potrącenia długu leasingowego.</x:v>
      </x:c>
      <x:c r="I35" s="3"/>
      <x:c r="J35" s="3"/>
      <x:c r="K35" s="3"/>
      <x:c r="L35" s="3"/>
      <x:c r="M35" s="3"/>
      <x:c r="N35" s="3"/>
      <x:c r="O35" s="3"/>
      <x:c r="P35" s="2"/>
    </x:row>
    <x:row r="36" ht="21" customHeight="1">
      <x:c r="A36" s="2"/>
      <x:c r="B36" s="2"/>
      <x:c r="C36" s="2" t="str">
        <x:v>Amortyzacja bez leasingu / przychody</x:v>
      </x:c>
      <x:c r="D36" s="3"/>
      <x:c r="E36" s="3"/>
      <x:c r="F36" s="35" t="n">
        <x:v>0.03</x:v>
      </x:c>
      <x:c r="G36" s="3"/>
      <x:c r="H36" s="19" t="str">
        <x:v>Koszt amortyzacji odjęty w EBIT i dodany z powrotem po podatku.</x:v>
      </x:c>
      <x:c r="I36" s="3"/>
      <x:c r="J36" s="3"/>
      <x:c r="K36" s="3"/>
      <x:c r="L36" s="3"/>
      <x:c r="M36" s="3"/>
      <x:c r="N36" s="3"/>
      <x:c r="O36" s="3"/>
      <x:c r="P36" s="2"/>
    </x:row>
    <x:row r="37" ht="21" customHeight="1">
      <x:c r="A37" s="2"/>
      <x:c r="B37" s="2"/>
      <x:c r="C37" s="2" t="str">
        <x:v>Zwykły capex / przychody</x:v>
      </x:c>
      <x:c r="D37" s="3"/>
      <x:c r="E37" s="3"/>
      <x:c r="F37" s="35" t="n">
        <x:v>0.016</x:v>
      </x:c>
      <x:c r="G37" s="3"/>
      <x:c r="H37" s="19" t="str">
        <x:v>Nakłady rzeczowe i zwykłe niematerialne, bez katalogów praw.</x:v>
      </x:c>
      <x:c r="I37" s="3"/>
      <x:c r="J37" s="3"/>
      <x:c r="K37" s="3"/>
      <x:c r="L37" s="3"/>
      <x:c r="M37" s="3"/>
      <x:c r="N37" s="3"/>
      <x:c r="O37" s="3"/>
      <x:c r="P37" s="2"/>
    </x:row>
    <x:row r="38" ht="21" customHeight="1">
      <x:c r="A38" s="2"/>
      <x:c r="B38" s="2"/>
      <x:c r="C38" s="2" t="str">
        <x:v>Zaliczki tantiemowe netto / przychody</x:v>
      </x:c>
      <x:c r="D38" s="3"/>
      <x:c r="E38" s="3"/>
      <x:c r="F38" s="35" t="n">
        <x:v>0.032</x:v>
      </x:c>
      <x:c r="G38" s="3"/>
      <x:c r="H38" s="19" t="str">
        <x:v>Wypłaty netto po odzyskach. Oddzielone od pozostałego kapitału obrotowego.</x:v>
      </x:c>
      <x:c r="I38" s="3"/>
      <x:c r="J38" s="3"/>
      <x:c r="K38" s="3"/>
      <x:c r="L38" s="3"/>
      <x:c r="M38" s="3"/>
      <x:c r="N38" s="3"/>
      <x:c r="O38" s="3"/>
      <x:c r="P38" s="2"/>
    </x:row>
    <x:row r="39" ht="21" customHeight="1">
      <x:c r="A39" s="2"/>
      <x:c r="B39" s="2"/>
      <x:c r="C39" s="2" t="str">
        <x:v>Utrzymaniowe zakupy katalogów / przychody</x:v>
      </x:c>
      <x:c r="D39" s="3"/>
      <x:c r="E39" s="3"/>
      <x:c r="F39" s="35" t="n">
        <x:v>0.02</x:v>
      </x:c>
      <x:c r="G39" s="3"/>
      <x:c r="H39" s="19" t="str">
        <x:v>Stała reinwestycja w prawa ponad bieżące wydatki A&amp;R w rachunku wyników.</x:v>
      </x:c>
      <x:c r="I39" s="3"/>
      <x:c r="J39" s="3"/>
      <x:c r="K39" s="3"/>
      <x:c r="L39" s="3"/>
      <x:c r="M39" s="3"/>
      <x:c r="N39" s="3"/>
      <x:c r="O39" s="3"/>
      <x:c r="P39" s="2"/>
    </x:row>
    <x:row r="40" ht="21" customHeight="1">
      <x:c r="A40" s="2"/>
      <x:c r="B40" s="2"/>
      <x:c r="C40" s="2" t="str">
        <x:v>Pozostały NWC / przyrost przychodów</x:v>
      </x:c>
      <x:c r="D40" s="3"/>
      <x:c r="E40" s="3"/>
      <x:c r="F40" s="35" t="n">
        <x:v>0.1</x:v>
      </x:c>
      <x:c r="G40" s="3"/>
      <x:c r="H40" s="19" t="str">
        <x:v>2026E: zero wobec braku porównywalnej bazy. Od 2027: procent przyrostu sprzedaży.</x:v>
      </x:c>
      <x:c r="I40" s="3"/>
      <x:c r="J40" s="3"/>
      <x:c r="K40" s="3"/>
      <x:c r="L40" s="3"/>
      <x:c r="M40" s="3"/>
      <x:c r="N40" s="3"/>
      <x:c r="O40" s="3"/>
      <x:c r="P40" s="2"/>
    </x:row>
    <x:row r="41" ht="21" customHeight="1">
      <x:c r="A41" s="2"/>
      <x:c r="B41" s="2"/>
      <x:c r="C41" s="2" t="str">
        <x:v>Podatek operacyjny</x:v>
      </x:c>
      <x:c r="D41" s="3"/>
      <x:c r="E41" s="3"/>
      <x:c r="F41" s="35" t="n">
        <x:v>0.25</x:v>
      </x:c>
      <x:c r="G41" s="3"/>
      <x:c r="H41" s="19" t="str">
        <x:v>Stawka normalizowana; nie historyczna efektywna stawka IFRS.</x:v>
      </x:c>
      <x:c r="I41" s="3"/>
      <x:c r="J41" s="3"/>
      <x:c r="K41" s="3"/>
      <x:c r="L41" s="3"/>
      <x:c r="M41" s="3"/>
      <x:c r="N41" s="3"/>
      <x:c r="O41" s="3"/>
      <x:c r="P41" s="2"/>
    </x:row>
    <x:row r="42" ht="21" customHeight="1">
      <x:c r="A42" s="2"/>
      <x:c r="B42" s="2"/>
      <x:c r="C42" s="2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2"/>
    </x:row>
    <x:row r="43" ht="21" customHeight="1">
      <x:c r="A43" s="2"/>
      <x:c r="B43" s="2"/>
      <x:c r="C43" s="2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2"/>
    </x:row>
    <x:row r="44" ht="21" customHeight="1">
      <x:c r="A44" s="2"/>
      <x:c r="B44" s="2"/>
      <x:c r="C44" s="2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2"/>
    </x:row>
    <x:row r="45" ht="23" customHeight="1">
      <x:c r="A45" s="2"/>
      <x:c r="B45" s="2"/>
      <x:c r="C45" s="10" t="str">
        <x:v>Prognoza segmentów — założenia autorskie</x:v>
      </x:c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3"/>
      <x:c r="P45" s="2"/>
    </x:row>
    <x:row r="46" ht="21" customHeight="1">
      <x:c r="A46" s="2"/>
      <x:c r="B46" s="2"/>
      <x:c r="C46" s="2"/>
      <x:c r="D46" s="50" t="n">
        <x:v>2026</x:v>
      </x:c>
      <x:c r="E46" s="50" t="n">
        <x:v>2027</x:v>
      </x:c>
      <x:c r="F46" s="50" t="n">
        <x:v>2028</x:v>
      </x:c>
      <x:c r="G46" s="50" t="n">
        <x:v>2029</x:v>
      </x:c>
      <x:c r="H46" s="50" t="n">
        <x:v>2030</x:v>
      </x:c>
      <x:c r="I46" s="50" t="n">
        <x:v>2031</x:v>
      </x:c>
      <x:c r="J46" s="50" t="n">
        <x:v>2032</x:v>
      </x:c>
      <x:c r="K46" s="50" t="n">
        <x:v>2033</x:v>
      </x:c>
      <x:c r="L46" s="50" t="n">
        <x:v>2034</x:v>
      </x:c>
      <x:c r="M46" s="50" t="n">
        <x:v>2035</x:v>
      </x:c>
      <x:c r="N46" s="50" t="n">
        <x:v>2036</x:v>
      </x:c>
      <x:c r="O46" s="3"/>
      <x:c r="P46" s="2"/>
    </x:row>
    <x:row r="47" ht="21" customHeight="1">
      <x:c r="A47" s="2"/>
      <x:c r="B47" s="2"/>
      <x:c r="C47" s="2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2"/>
    </x:row>
    <x:row r="48" ht="21" customHeight="1">
      <x:c r="A48" s="2"/>
      <x:c r="B48" s="2"/>
      <x:c r="C48" s="2" t="str">
        <x:v>Recorded Music bez Downtown — wzrost</x:v>
      </x:c>
      <x:c r="D48" s="36" t="str">
        <x:v>n.a.</x:v>
      </x:c>
      <x:c r="E48" s="35" t="n">
        <x:v>0.065</x:v>
      </x:c>
      <x:c r="F48" s="35" t="n">
        <x:v>0.06</x:v>
      </x:c>
      <x:c r="G48" s="35" t="n">
        <x:v>0.055</x:v>
      </x:c>
      <x:c r="H48" s="35" t="n">
        <x:v>0.05</x:v>
      </x:c>
      <x:c r="I48" s="35" t="n">
        <x:v>0.045</x:v>
      </x:c>
      <x:c r="J48" s="35" t="n">
        <x:v>0.04</x:v>
      </x:c>
      <x:c r="K48" s="35" t="n">
        <x:v>0.04</x:v>
      </x:c>
      <x:c r="L48" s="35" t="n">
        <x:v>0.035</x:v>
      </x:c>
      <x:c r="M48" s="35" t="n">
        <x:v>0.035</x:v>
      </x:c>
      <x:c r="N48" s="35" t="n">
        <x:v>0.035</x:v>
      </x:c>
      <x:c r="O48" s="3"/>
      <x:c r="P48" s="2"/>
    </x:row>
    <x:row r="49" ht="21" customHeight="1">
      <x:c r="A49" s="2"/>
      <x:c r="B49" s="2"/>
      <x:c r="C49" s="2" t="str">
        <x:v>Publishing bez Downtown — wzrost</x:v>
      </x:c>
      <x:c r="D49" s="36" t="str">
        <x:v>n.a.</x:v>
      </x:c>
      <x:c r="E49" s="35" t="n">
        <x:v>0.06</x:v>
      </x:c>
      <x:c r="F49" s="35" t="n">
        <x:v>0.06</x:v>
      </x:c>
      <x:c r="G49" s="35" t="n">
        <x:v>0.055</x:v>
      </x:c>
      <x:c r="H49" s="35" t="n">
        <x:v>0.05</x:v>
      </x:c>
      <x:c r="I49" s="35" t="n">
        <x:v>0.045</x:v>
      </x:c>
      <x:c r="J49" s="35" t="n">
        <x:v>0.045</x:v>
      </x:c>
      <x:c r="K49" s="35" t="n">
        <x:v>0.04</x:v>
      </x:c>
      <x:c r="L49" s="35" t="n">
        <x:v>0.04</x:v>
      </x:c>
      <x:c r="M49" s="35" t="n">
        <x:v>0.035</x:v>
      </x:c>
      <x:c r="N49" s="35" t="n">
        <x:v>0.035</x:v>
      </x:c>
      <x:c r="O49" s="3"/>
      <x:c r="P49" s="2"/>
    </x:row>
    <x:row r="50" ht="21" customHeight="1">
      <x:c r="A50" s="2"/>
      <x:c r="B50" s="2"/>
      <x:c r="C50" s="2" t="str">
        <x:v>Downtown — wzrost</x:v>
      </x:c>
      <x:c r="D50" s="36" t="str">
        <x:v>n.a.</x:v>
      </x:c>
      <x:c r="E50" s="35" t="n">
        <x:v>0.08</x:v>
      </x:c>
      <x:c r="F50" s="35" t="n">
        <x:v>0.08</x:v>
      </x:c>
      <x:c r="G50" s="35" t="n">
        <x:v>0.07</x:v>
      </x:c>
      <x:c r="H50" s="35" t="n">
        <x:v>0.06</x:v>
      </x:c>
      <x:c r="I50" s="35" t="n">
        <x:v>0.055</x:v>
      </x:c>
      <x:c r="J50" s="35" t="n">
        <x:v>0.05</x:v>
      </x:c>
      <x:c r="K50" s="35" t="n">
        <x:v>0.045</x:v>
      </x:c>
      <x:c r="L50" s="35" t="n">
        <x:v>0.04</x:v>
      </x:c>
      <x:c r="M50" s="35" t="n">
        <x:v>0.04</x:v>
      </x:c>
      <x:c r="N50" s="35" t="n">
        <x:v>0.04</x:v>
      </x:c>
      <x:c r="O50" s="3"/>
      <x:c r="P50" s="2"/>
    </x:row>
    <x:row r="51" ht="21" customHeight="1">
      <x:c r="A51" s="2"/>
      <x:c r="B51" s="2"/>
      <x:c r="C51" s="2" t="str">
        <x:v>Merchandising i pozostałe — wzrost</x:v>
      </x:c>
      <x:c r="D51" s="36" t="str">
        <x:v>n.a.</x:v>
      </x:c>
      <x:c r="E51" s="35" t="n">
        <x:v>0.03</x:v>
      </x:c>
      <x:c r="F51" s="35" t="n">
        <x:v>0.03</x:v>
      </x:c>
      <x:c r="G51" s="35" t="n">
        <x:v>0.025</x:v>
      </x:c>
      <x:c r="H51" s="35" t="n">
        <x:v>0.025</x:v>
      </x:c>
      <x:c r="I51" s="35" t="n">
        <x:v>0.02</x:v>
      </x:c>
      <x:c r="J51" s="35" t="n">
        <x:v>0.02</x:v>
      </x:c>
      <x:c r="K51" s="35" t="n">
        <x:v>0.02</x:v>
      </x:c>
      <x:c r="L51" s="35" t="n">
        <x:v>0.02</x:v>
      </x:c>
      <x:c r="M51" s="35" t="n">
        <x:v>0.02</x:v>
      </x:c>
      <x:c r="N51" s="35" t="n">
        <x:v>0.02</x:v>
      </x:c>
      <x:c r="O51" s="3"/>
      <x:c r="P51" s="2"/>
    </x:row>
    <x:row r="52" ht="21" customHeight="1">
      <x:c r="A52" s="2"/>
      <x:c r="B52" s="2"/>
      <x:c r="C52" s="2"/>
      <x:c r="D52" s="36"/>
      <x:c r="E52" s="36"/>
      <x:c r="F52" s="36"/>
      <x:c r="G52" s="36"/>
      <x:c r="H52" s="36"/>
      <x:c r="I52" s="36"/>
      <x:c r="J52" s="36"/>
      <x:c r="K52" s="36"/>
      <x:c r="L52" s="36"/>
      <x:c r="M52" s="36"/>
      <x:c r="N52" s="36"/>
      <x:c r="O52" s="3"/>
      <x:c r="P52" s="2"/>
    </x:row>
    <x:row r="53" ht="21" customHeight="1">
      <x:c r="A53" s="2"/>
      <x:c r="B53" s="2"/>
      <x:c r="C53" s="2"/>
      <x:c r="D53" s="36"/>
      <x:c r="E53" s="36"/>
      <x:c r="F53" s="36"/>
      <x:c r="G53" s="36"/>
      <x:c r="H53" s="36"/>
      <x:c r="I53" s="36"/>
      <x:c r="J53" s="36"/>
      <x:c r="K53" s="36"/>
      <x:c r="L53" s="36"/>
      <x:c r="M53" s="36"/>
      <x:c r="N53" s="36"/>
      <x:c r="O53" s="3"/>
      <x:c r="P53" s="2"/>
    </x:row>
    <x:row r="54" ht="21" customHeight="1">
      <x:c r="A54" s="2"/>
      <x:c r="B54" s="2"/>
      <x:c r="C54" s="2" t="str">
        <x:v>Recorded Music bez Downtown — marża EBITDA</x:v>
      </x:c>
      <x:c r="D54" s="35" t="n">
        <x:v>0.255</x:v>
      </x:c>
      <x:c r="E54" s="35" t="n">
        <x:v>0.26</x:v>
      </x:c>
      <x:c r="F54" s="35" t="n">
        <x:v>0.265</x:v>
      </x:c>
      <x:c r="G54" s="35" t="n">
        <x:v>0.27</x:v>
      </x:c>
      <x:c r="H54" s="35" t="n">
        <x:v>0.2725</x:v>
      </x:c>
      <x:c r="I54" s="35" t="n">
        <x:v>0.275</x:v>
      </x:c>
      <x:c r="J54" s="35" t="n">
        <x:v>0.2775</x:v>
      </x:c>
      <x:c r="K54" s="35" t="n">
        <x:v>0.28</x:v>
      </x:c>
      <x:c r="L54" s="35" t="n">
        <x:v>0.28</x:v>
      </x:c>
      <x:c r="M54" s="35" t="n">
        <x:v>0.28</x:v>
      </x:c>
      <x:c r="N54" s="35" t="n">
        <x:v>0.28</x:v>
      </x:c>
      <x:c r="O54" s="3"/>
      <x:c r="P54" s="2"/>
    </x:row>
    <x:row r="55" ht="21" customHeight="1">
      <x:c r="A55" s="2"/>
      <x:c r="B55" s="2"/>
      <x:c r="C55" s="2" t="str">
        <x:v>Publishing bez Downtown — marża EBITDA</x:v>
      </x:c>
      <x:c r="D55" s="35" t="n">
        <x:v>0.245</x:v>
      </x:c>
      <x:c r="E55" s="35" t="n">
        <x:v>0.25</x:v>
      </x:c>
      <x:c r="F55" s="35" t="n">
        <x:v>0.2525</x:v>
      </x:c>
      <x:c r="G55" s="35" t="n">
        <x:v>0.255</x:v>
      </x:c>
      <x:c r="H55" s="35" t="n">
        <x:v>0.255</x:v>
      </x:c>
      <x:c r="I55" s="35" t="n">
        <x:v>0.2575</x:v>
      </x:c>
      <x:c r="J55" s="35" t="n">
        <x:v>0.2575</x:v>
      </x:c>
      <x:c r="K55" s="35" t="n">
        <x:v>0.26</x:v>
      </x:c>
      <x:c r="L55" s="35" t="n">
        <x:v>0.26</x:v>
      </x:c>
      <x:c r="M55" s="35" t="n">
        <x:v>0.26</x:v>
      </x:c>
      <x:c r="N55" s="35" t="n">
        <x:v>0.26</x:v>
      </x:c>
      <x:c r="O55" s="3"/>
      <x:c r="P55" s="2"/>
    </x:row>
    <x:row r="56" ht="21" customHeight="1">
      <x:c r="A56" s="2"/>
      <x:c r="B56" s="2"/>
      <x:c r="C56" s="2" t="str">
        <x:v>Downtown — marża EBITDA</x:v>
      </x:c>
      <x:c r="D56" s="35" t="n">
        <x:v>0.055</x:v>
      </x:c>
      <x:c r="E56" s="35" t="n">
        <x:v>0.07</x:v>
      </x:c>
      <x:c r="F56" s="35" t="n">
        <x:v>0.085</x:v>
      </x:c>
      <x:c r="G56" s="35" t="n">
        <x:v>0.1</x:v>
      </x:c>
      <x:c r="H56" s="35" t="n">
        <x:v>0.11</x:v>
      </x:c>
      <x:c r="I56" s="35" t="n">
        <x:v>0.115</x:v>
      </x:c>
      <x:c r="J56" s="35" t="n">
        <x:v>0.12</x:v>
      </x:c>
      <x:c r="K56" s="35" t="n">
        <x:v>0.12</x:v>
      </x:c>
      <x:c r="L56" s="35" t="n">
        <x:v>0.12</x:v>
      </x:c>
      <x:c r="M56" s="35" t="n">
        <x:v>0.12</x:v>
      </x:c>
      <x:c r="N56" s="35" t="n">
        <x:v>0.12</x:v>
      </x:c>
      <x:c r="O56" s="3"/>
      <x:c r="P56" s="2"/>
    </x:row>
    <x:row r="57" ht="21" customHeight="1">
      <x:c r="A57" s="2"/>
      <x:c r="B57" s="2"/>
      <x:c r="C57" s="2" t="str">
        <x:v>Merchandising i pozostałe — marża EBITDA</x:v>
      </x:c>
      <x:c r="D57" s="35" t="n">
        <x:v>0.02</x:v>
      </x:c>
      <x:c r="E57" s="35" t="n">
        <x:v>0.03</x:v>
      </x:c>
      <x:c r="F57" s="35" t="n">
        <x:v>0.035</x:v>
      </x:c>
      <x:c r="G57" s="35" t="n">
        <x:v>0.04</x:v>
      </x:c>
      <x:c r="H57" s="35" t="n">
        <x:v>0.045</x:v>
      </x:c>
      <x:c r="I57" s="35" t="n">
        <x:v>0.05</x:v>
      </x:c>
      <x:c r="J57" s="35" t="n">
        <x:v>0.05</x:v>
      </x:c>
      <x:c r="K57" s="35" t="n">
        <x:v>0.05</x:v>
      </x:c>
      <x:c r="L57" s="35" t="n">
        <x:v>0.05</x:v>
      </x:c>
      <x:c r="M57" s="35" t="n">
        <x:v>0.05</x:v>
      </x:c>
      <x:c r="N57" s="35" t="n">
        <x:v>0.05</x:v>
      </x:c>
      <x:c r="O57" s="3"/>
      <x:c r="P57" s="2"/>
    </x:row>
    <x:row r="58" ht="21" customHeight="1">
      <x:c r="A58" s="2"/>
      <x:c r="B58" s="2"/>
      <x:c r="C58" s="2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2"/>
    </x:row>
    <x:row r="59" ht="21" customHeight="1">
      <x:c r="A59" s="2"/>
      <x:c r="B59" s="2"/>
      <x:c r="C59" s="2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2"/>
    </x:row>
    <x:row r="60" ht="21" customHeight="1">
      <x:c r="A60" s="2"/>
      <x:c r="B60" s="2"/>
      <x:c r="C60" s="2" t="str">
        <x:v>Recorded Music bez Downtown — przychody 2026E</x:v>
      </x:c>
      <x:c r="D60" s="30" t="n">
        <x:v>9850</x:v>
      </x:c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2"/>
    </x:row>
    <x:row r="61" ht="21" customHeight="1">
      <x:c r="A61" s="2"/>
      <x:c r="B61" s="2"/>
      <x:c r="C61" s="2" t="str">
        <x:v>Publishing bez Downtown — przychody 2026E</x:v>
      </x:c>
      <x:c r="D61" s="30" t="n">
        <x:v>2260</x:v>
      </x:c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2"/>
    </x:row>
    <x:row r="62" ht="21" customHeight="1">
      <x:c r="A62" s="2"/>
      <x:c r="B62" s="2"/>
      <x:c r="C62" s="2" t="str">
        <x:v>Downtown — przychody 2026E</x:v>
      </x:c>
      <x:c r="D62" s="30" t="n">
        <x:v>650</x:v>
      </x:c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2"/>
    </x:row>
    <x:row r="63" ht="21" customHeight="1">
      <x:c r="A63" s="2"/>
      <x:c r="B63" s="2"/>
      <x:c r="C63" s="2" t="str">
        <x:v>Merchandising i pozostałe — przychody 2026E</x:v>
      </x:c>
      <x:c r="D63" s="30" t="n">
        <x:v>760</x:v>
      </x:c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2"/>
    </x:row>
    <x:row r="64" ht="21" customHeight="1">
      <x:c r="A64" s="2"/>
      <x:c r="B64" s="2"/>
      <x:c r="C64" s="2" t="str">
        <x:v>Eliminacje przychodów 2026E</x:v>
      </x:c>
      <x:c r="D64" s="30" t="n">
        <x:v>-20</x:v>
      </x:c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2"/>
    </x:row>
    <x:row r="65" ht="21" customHeight="1">
      <x:c r="A65" s="2"/>
      <x:c r="B65" s="2"/>
      <x:c r="C65" s="2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2"/>
    </x:row>
    <x:row r="66" ht="21" customHeight="1">
      <x:c r="A66" s="2"/>
      <x:c r="B66" s="2"/>
      <x:c r="C66" s="2"/>
      <x:c r="D66" s="3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2"/>
    </x:row>
    <x:row r="67" ht="21" customHeight="1">
      <x:c r="A67" s="2"/>
      <x:c r="B67" s="2"/>
      <x:c r="C67" s="2" t="str">
        <x:v>Wzrost: prognozy nominalne EUR. Efekt kursowy i miks ujęte w założeniach, bez stałego kursu walutowego.</x:v>
      </x:c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2"/>
    </x:row>
    <x:row r="68" ht="21" customHeight="1">
      <x:c r="A68" s="2"/>
      <x:c r="B68" s="2"/>
      <x:c r="C68" s="2" t="str">
        <x:v>Przejęcie Downtown: pełna baza 2026E, oddzielna marża, bez kolejnych przejęć.</x:v>
      </x:c>
      <x:c r="D68" s="3"/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2"/>
    </x:row>
    <x:row r="69" ht="21" customHeight="1">
      <x:c r="A69" s="2"/>
      <x:c r="B69" s="2"/>
      <x:c r="C69" s="2" t="str">
        <x:v>Wyliczenie CAPM służy analizie wrażliwości. Parametry nie są obserwowanymi notowaniami rynkowymi.</x:v>
      </x:c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2"/>
    </x:row>
    <x:row r="70" ht="21" customHeight="1">
      <x:c r="A70" s="2"/>
      <x:c r="B70" s="2"/>
      <x:c r="C70" s="2" t="str">
        <x:v>Wartość terminalna wymaga WACC &gt; g. Tabela i FCFF przeliczają reinwestycje przy każdej wartości g.</x:v>
      </x:c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2"/>
    </x:row>
    <x:row r="71" ht="21" customHeight="1">
      <x:c r="A71" s="2"/>
      <x:c r="B71" s="2"/>
      <x:c r="C71" s="2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2"/>
    </x:row>
    <x:row r="72" ht="21" customHeight="1">
      <x:c r="A72" s="2"/>
      <x:c r="B72" s="2"/>
      <x:c r="C72" s="2"/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2"/>
    </x:row>
    <x:row r="73" ht="21" customHeight="1">
      <x:c r="A73" s="2"/>
      <x:c r="B73" s="2"/>
      <x:c r="C73" s="2"/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2"/>
    </x:row>
    <x:row r="74" ht="21" customHeight="1">
      <x:c r="A74" s="2"/>
      <x:c r="B74" s="2"/>
      <x:c r="C74" s="2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2"/>
    </x:row>
    <x:row r="75" ht="21" customHeight="1">
      <x:c r="A75" s="2"/>
      <x:c r="B75" s="2"/>
      <x:c r="C75" s="2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2"/>
    </x:row>
    <x:row r="76" ht="21" customHeight="1">
      <x:c r="A76" s="2"/>
      <x:c r="B76" s="2"/>
      <x:c r="C76" s="2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2"/>
    </x:row>
    <x:row r="77" ht="21" customHeight="1">
      <x:c r="A77" s="2"/>
      <x:c r="B77" s="2"/>
      <x:c r="C77" s="2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2"/>
    </x:row>
    <x:row r="78" ht="21" customHeight="1">
      <x:c r="A78" s="2"/>
      <x:c r="B78" s="2"/>
      <x:c r="C78" s="2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  <x:c r="P78" s="2"/>
    </x:row>
    <x:row r="79" ht="21" customHeight="1">
      <x:c r="A79" s="2"/>
      <x:c r="B79" s="2"/>
      <x:c r="C79" s="2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2"/>
    </x:row>
    <x:row r="80" ht="21" customHeight="1">
      <x:c r="A80" s="2"/>
      <x:c r="B80" s="2"/>
      <x:c r="C80" s="2"/>
      <x:c r="D80" s="3"/>
      <x:c r="E80" s="3"/>
      <x:c r="F80" s="3"/>
      <x:c r="G80" s="3"/>
      <x:c r="H80" s="3"/>
      <x:c r="I80" s="3"/>
      <x:c r="J80" s="3"/>
      <x:c r="K80" s="3"/>
      <x:c r="L80" s="3"/>
      <x:c r="M80" s="3"/>
      <x:c r="N80" s="3"/>
      <x:c r="O80" s="3"/>
      <x:c r="P80" s="2"/>
    </x:row>
    <x:row r="81" ht="21" customHeight="1">
      <x:c r="A81" s="2"/>
      <x:c r="B81" s="2"/>
      <x:c r="C81" s="2"/>
      <x:c r="D81" s="3"/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  <x:c r="P81" s="2"/>
    </x:row>
    <x:row r="82" ht="21" customHeight="1">
      <x:c r="A82" s="2"/>
      <x:c r="B82" s="2"/>
      <x:c r="C82" s="2"/>
      <x:c r="D82" s="3"/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2"/>
    </x:row>
    <x:row r="83" ht="21" customHeight="1">
      <x:c r="A83" s="2"/>
      <x:c r="B83" s="2"/>
      <x:c r="C83" s="2"/>
      <x:c r="D83" s="3"/>
      <x:c r="E83" s="3"/>
      <x:c r="F83" s="3"/>
      <x:c r="G83" s="3"/>
      <x:c r="H83" s="3"/>
      <x:c r="I83" s="3"/>
      <x:c r="J83" s="3"/>
      <x:c r="K83" s="3"/>
      <x:c r="L83" s="3"/>
      <x:c r="M83" s="3"/>
      <x:c r="N83" s="3"/>
      <x:c r="O83" s="3"/>
      <x:c r="P83" s="2"/>
    </x:row>
    <x:row r="84" ht="21" customHeight="1">
      <x:c r="A84" s="2"/>
      <x:c r="B84" s="2"/>
      <x:c r="C84" s="2"/>
      <x:c r="D84" s="3"/>
      <x:c r="E84" s="3"/>
      <x:c r="F84" s="3"/>
      <x:c r="G84" s="3"/>
      <x:c r="H84" s="3"/>
      <x:c r="I84" s="3"/>
      <x:c r="J84" s="3"/>
      <x:c r="K84" s="3"/>
      <x:c r="L84" s="3"/>
      <x:c r="M84" s="3"/>
      <x:c r="N84" s="3"/>
      <x:c r="O84" s="3"/>
      <x:c r="P84" s="2"/>
    </x:row>
    <x:row r="85" ht="21" customHeight="1">
      <x:c r="A85" s="2"/>
      <x:c r="B85" s="2"/>
      <x:c r="C85" s="2"/>
      <x:c r="D85" s="3"/>
      <x:c r="E85" s="3"/>
      <x:c r="F85" s="3"/>
      <x:c r="G85" s="3"/>
      <x:c r="H85" s="3"/>
      <x:c r="I85" s="3"/>
      <x:c r="J85" s="3"/>
      <x:c r="K85" s="3"/>
      <x:c r="L85" s="3"/>
      <x:c r="M85" s="3"/>
      <x:c r="N85" s="3"/>
      <x:c r="O85" s="3"/>
      <x:c r="P85" s="2"/>
    </x:row>
    <x:row r="86" ht="21" customHeight="1">
      <x:c r="A86" s="2"/>
      <x:c r="B86" s="2"/>
      <x:c r="C86" s="2"/>
      <x:c r="D86" s="3"/>
      <x:c r="E86" s="3"/>
      <x:c r="F86" s="3"/>
      <x:c r="G86" s="3"/>
      <x:c r="H86" s="3"/>
      <x:c r="I86" s="3"/>
      <x:c r="J86" s="3"/>
      <x:c r="K86" s="3"/>
      <x:c r="L86" s="3"/>
      <x:c r="M86" s="3"/>
      <x:c r="N86" s="3"/>
      <x:c r="O86" s="3"/>
      <x:c r="P86" s="2"/>
    </x:row>
    <x:row r="87" ht="21" customHeight="1">
      <x:c r="A87" s="2"/>
      <x:c r="B87" s="2"/>
      <x:c r="C87" s="2"/>
      <x:c r="D87" s="3"/>
      <x:c r="E87" s="3"/>
      <x:c r="F87" s="3"/>
      <x:c r="G87" s="3"/>
      <x:c r="H87" s="3"/>
      <x:c r="I87" s="3"/>
      <x:c r="J87" s="3"/>
      <x:c r="K87" s="3"/>
      <x:c r="L87" s="3"/>
      <x:c r="M87" s="3"/>
      <x:c r="N87" s="3"/>
      <x:c r="O87" s="3"/>
      <x:c r="P87" s="2"/>
    </x:row>
    <x:row r="88" ht="21" customHeight="1">
      <x:c r="A88" s="2"/>
      <x:c r="B88" s="2"/>
      <x:c r="C88" s="2"/>
      <x:c r="D88" s="3"/>
      <x:c r="E88" s="3"/>
      <x:c r="F88" s="3"/>
      <x:c r="G88" s="3"/>
      <x:c r="H88" s="3"/>
      <x:c r="I88" s="3"/>
      <x:c r="J88" s="3"/>
      <x:c r="K88" s="3"/>
      <x:c r="L88" s="3"/>
      <x:c r="M88" s="3"/>
      <x:c r="N88" s="3"/>
      <x:c r="O88" s="3"/>
      <x:c r="P88" s="2"/>
    </x:row>
    <x:row r="89" ht="21" customHeight="1">
      <x:c r="A89" s="2"/>
      <x:c r="B89" s="2"/>
      <x:c r="C89" s="2"/>
      <x:c r="D89" s="3"/>
      <x:c r="E89" s="3"/>
      <x:c r="F89" s="3"/>
      <x:c r="G89" s="3"/>
      <x:c r="H89" s="3"/>
      <x:c r="I89" s="3"/>
      <x:c r="J89" s="3"/>
      <x:c r="K89" s="3"/>
      <x:c r="L89" s="3"/>
      <x:c r="M89" s="3"/>
      <x:c r="N89" s="3"/>
      <x:c r="O89" s="3"/>
      <x:c r="P89" s="2"/>
    </x:row>
    <x:row r="90" ht="21" customHeight="1">
      <x:c r="A90" s="2"/>
      <x:c r="B90" s="2"/>
      <x:c r="C90" s="2"/>
      <x:c r="D90" s="3"/>
      <x:c r="E90" s="3"/>
      <x:c r="F90" s="3"/>
      <x:c r="G90" s="3"/>
      <x:c r="H90" s="3"/>
      <x:c r="I90" s="3"/>
      <x:c r="J90" s="3"/>
      <x:c r="K90" s="3"/>
      <x:c r="L90" s="3"/>
      <x:c r="M90" s="3"/>
      <x:c r="N90" s="3"/>
      <x:c r="O90" s="3"/>
      <x:c r="P90" s="2"/>
    </x:row>
  </x:sheetData>
  <x:conditionalFormatting sqref="I8:N14">
    <x:cfRule type="colorScale" priority="1">
      <x:colorScale>
        <x:cfvo type="min"/>
        <x:cfvo type="percentile" val="50"/>
        <x:cfvo type="max"/>
        <x:color rgb="FFF8DCE1"/>
        <x:color rgb="FFFFFFFF"/>
        <x:color rgb="FFD7E7DF"/>
      </x:colorScale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7C5CD"/>
  </x:sheetPr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.200000047683716" hidden="0" customWidth="1"/>
    <x:col min="2" max="2" width="2.200000047683716" hidden="0" customWidth="1"/>
    <x:col min="3" max="3" width="47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8" customHeight="1">
      <x:c r="A2" s="2"/>
      <x:c r="B2" s="2"/>
      <x:c r="C2" s="6" t="str">
        <x:v>Prognoza operacyjna i DCF</x:v>
      </x:c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2"/>
      <x:c r="P2" s="2"/>
    </x:row>
    <x:row r="3" ht="23" customHeight="1">
      <x:c r="A3" s="2"/>
      <x:c r="B3" s="2"/>
      <x:c r="C3" s="5" t="str">
        <x:v>mln EUR; 2026E jest bazą szacunkową, a 2037 stanowi znormalizowany rok terminalny</x:v>
      </x:c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2"/>
      <x:c r="P3" s="2"/>
    </x:row>
    <x:row r="4" ht="23" customHeight="1">
      <x:c r="A4" s="2"/>
      <x:c r="B4" s="2"/>
      <x:c r="C4" s="10"/>
      <x:c r="D4" s="17" t="str">
        <x:v>2026E</x:v>
      </x:c>
      <x:c r="E4" s="17" t="str">
        <x:v>2027E</x:v>
      </x:c>
      <x:c r="F4" s="17" t="str">
        <x:v>2028E</x:v>
      </x:c>
      <x:c r="G4" s="17" t="str">
        <x:v>2029E</x:v>
      </x:c>
      <x:c r="H4" s="17" t="str">
        <x:v>2030E</x:v>
      </x:c>
      <x:c r="I4" s="17" t="str">
        <x:v>2031E</x:v>
      </x:c>
      <x:c r="J4" s="17" t="str">
        <x:v>2032E</x:v>
      </x:c>
      <x:c r="K4" s="17" t="str">
        <x:v>2033E</x:v>
      </x:c>
      <x:c r="L4" s="17" t="str">
        <x:v>2034E</x:v>
      </x:c>
      <x:c r="M4" s="17" t="str">
        <x:v>2035E</x:v>
      </x:c>
      <x:c r="N4" s="17" t="str">
        <x:v>2036E</x:v>
      </x:c>
      <x:c r="O4" s="17" t="str">
        <x:v>2037 TV</x:v>
      </x:c>
      <x:c r="P4" s="2"/>
    </x:row>
    <x:row r="5" ht="23" customHeight="1">
      <x:c r="A5" s="2"/>
      <x:c r="B5" s="2"/>
      <x:c r="C5" s="10" t="str">
        <x:v>Przychody</x:v>
      </x:c>
      <x:c r="D5" s="51"/>
      <x:c r="E5" s="51"/>
      <x:c r="F5" s="51"/>
      <x:c r="G5" s="51"/>
      <x:c r="H5" s="51"/>
      <x:c r="I5" s="51"/>
      <x:c r="J5" s="51"/>
      <x:c r="K5" s="51"/>
      <x:c r="L5" s="51"/>
      <x:c r="M5" s="51"/>
      <x:c r="N5" s="51"/>
      <x:c r="O5" s="51"/>
      <x:c r="P5" s="2"/>
    </x:row>
    <x:row r="6" ht="21" customHeight="1">
      <x:c r="A6" s="2"/>
      <x:c r="B6" s="2"/>
      <x:c r="C6" s="2" t="str">
        <x:v>Recorded Music bez Downtown</x:v>
      </x:c>
      <x:c r="D6" s="59" t="n">
        <x:f>'Assumptions'!D60</x:f>
        <x:v>9850</x:v>
      </x:c>
      <x:c r="E6" s="59" t="n">
        <x:f>D6*(1+'Assumptions'!E48)</x:f>
        <x:v>10490.25</x:v>
      </x:c>
      <x:c r="F6" s="59" t="n">
        <x:f>E6*(1+'Assumptions'!F48)</x:f>
        <x:v>11119.665</x:v>
      </x:c>
      <x:c r="G6" s="59" t="n">
        <x:f>F6*(1+'Assumptions'!G48)</x:f>
        <x:v>11731.246575000001</x:v>
      </x:c>
      <x:c r="H6" s="59" t="n">
        <x:f>G6*(1+'Assumptions'!H48)</x:f>
        <x:v>12317.808903750001</x:v>
      </x:c>
      <x:c r="I6" s="59" t="n">
        <x:f>H6*(1+'Assumptions'!I48)</x:f>
        <x:v>12872.110304418751</x:v>
      </x:c>
      <x:c r="J6" s="59" t="n">
        <x:f>I6*(1+'Assumptions'!J48)</x:f>
        <x:v>13386.994716595502</x:v>
      </x:c>
      <x:c r="K6" s="59" t="n">
        <x:f>J6*(1+'Assumptions'!K48)</x:f>
        <x:v>13922.474505259323</x:v>
      </x:c>
      <x:c r="L6" s="59" t="n">
        <x:f>K6*(1+'Assumptions'!L48)</x:f>
        <x:v>14409.761112943397</x:v>
      </x:c>
      <x:c r="M6" s="59" t="n">
        <x:f>L6*(1+'Assumptions'!M48)</x:f>
        <x:v>14914.102751896415</x:v>
      </x:c>
      <x:c r="N6" s="59" t="n">
        <x:f>M6*(1+'Assumptions'!N48)</x:f>
        <x:v>15436.096348212788</x:v>
      </x:c>
      <x:c r="O6" s="59" t="n">
        <x:f>N6*(1+'Assumptions'!$F$7)</x:f>
        <x:v>15821.998756918107</x:v>
      </x:c>
      <x:c r="P6" s="2"/>
    </x:row>
    <x:row r="7" ht="21" customHeight="1">
      <x:c r="A7" s="2"/>
      <x:c r="B7" s="2"/>
      <x:c r="C7" s="2" t="str">
        <x:v>Publishing bez Downtown</x:v>
      </x:c>
      <x:c r="D7" s="59" t="n">
        <x:f>'Assumptions'!D61</x:f>
        <x:v>2260</x:v>
      </x:c>
      <x:c r="E7" s="59" t="n">
        <x:f>D7*(1+'Assumptions'!E49)</x:f>
        <x:v>2395.6</x:v>
      </x:c>
      <x:c r="F7" s="59" t="n">
        <x:f>E7*(1+'Assumptions'!F49)</x:f>
        <x:v>2539.3360000000002</x:v>
      </x:c>
      <x:c r="G7" s="59" t="n">
        <x:f>F7*(1+'Assumptions'!G49)</x:f>
        <x:v>2678.99948</x:v>
      </x:c>
      <x:c r="H7" s="59" t="n">
        <x:f>G7*(1+'Assumptions'!H49)</x:f>
        <x:v>2812.949454</x:v>
      </x:c>
      <x:c r="I7" s="59" t="n">
        <x:f>H7*(1+'Assumptions'!I49)</x:f>
        <x:v>2939.53217943</x:v>
      </x:c>
      <x:c r="J7" s="59" t="n">
        <x:f>I7*(1+'Assumptions'!J49)</x:f>
        <x:v>3071.8111275043498</x:v>
      </x:c>
      <x:c r="K7" s="59" t="n">
        <x:f>J7*(1+'Assumptions'!K49)</x:f>
        <x:v>3194.6835726045238</x:v>
      </x:c>
      <x:c r="L7" s="59" t="n">
        <x:f>K7*(1+'Assumptions'!L49)</x:f>
        <x:v>3322.470915508705</x:v>
      </x:c>
      <x:c r="M7" s="59" t="n">
        <x:f>L7*(1+'Assumptions'!M49)</x:f>
        <x:v>3438.7573975515093</x:v>
      </x:c>
      <x:c r="N7" s="59" t="n">
        <x:f>M7*(1+'Assumptions'!N49)</x:f>
        <x:v>3559.113906465812</x:v>
      </x:c>
      <x:c r="O7" s="59" t="n">
        <x:f>N7*(1+'Assumptions'!$F$7)</x:f>
        <x:v>3648.0917541274566</x:v>
      </x:c>
      <x:c r="P7" s="2"/>
    </x:row>
    <x:row r="8" ht="21" customHeight="1">
      <x:c r="A8" s="2"/>
      <x:c r="B8" s="2"/>
      <x:c r="C8" s="2" t="str">
        <x:v>Downtown</x:v>
      </x:c>
      <x:c r="D8" s="59" t="n">
        <x:f>'Assumptions'!D62</x:f>
        <x:v>650</x:v>
      </x:c>
      <x:c r="E8" s="59" t="n">
        <x:f>D8*(1+'Assumptions'!E50)</x:f>
        <x:v>702</x:v>
      </x:c>
      <x:c r="F8" s="59" t="n">
        <x:f>E8*(1+'Assumptions'!F50)</x:f>
        <x:v>758.1600000000001</x:v>
      </x:c>
      <x:c r="G8" s="59" t="n">
        <x:f>F8*(1+'Assumptions'!G50)</x:f>
        <x:v>811.2312000000002</x:v>
      </x:c>
      <x:c r="H8" s="59" t="n">
        <x:f>G8*(1+'Assumptions'!H50)</x:f>
        <x:v>859.9050720000002</x:v>
      </x:c>
      <x:c r="I8" s="59" t="n">
        <x:f>H8*(1+'Assumptions'!I50)</x:f>
        <x:v>907.1998509600002</x:v>
      </x:c>
      <x:c r="J8" s="59" t="n">
        <x:f>I8*(1+'Assumptions'!J50)</x:f>
        <x:v>952.5598435080002</x:v>
      </x:c>
      <x:c r="K8" s="59" t="n">
        <x:f>J8*(1+'Assumptions'!K50)</x:f>
        <x:v>995.4250364658601</x:v>
      </x:c>
      <x:c r="L8" s="59" t="n">
        <x:f>K8*(1+'Assumptions'!L50)</x:f>
        <x:v>1035.2420379244945</x:v>
      </x:c>
      <x:c r="M8" s="59" t="n">
        <x:f>L8*(1+'Assumptions'!M50)</x:f>
        <x:v>1076.6517194414744</x:v>
      </x:c>
      <x:c r="N8" s="59" t="n">
        <x:f>M8*(1+'Assumptions'!N50)</x:f>
        <x:v>1119.7177882191334</x:v>
      </x:c>
      <x:c r="O8" s="59" t="n">
        <x:f>N8*(1+'Assumptions'!$F$7)</x:f>
        <x:v>1147.7107329246116</x:v>
      </x:c>
      <x:c r="P8" s="2"/>
    </x:row>
    <x:row r="9" ht="21" customHeight="1">
      <x:c r="A9" s="2"/>
      <x:c r="B9" s="2"/>
      <x:c r="C9" s="2" t="str">
        <x:v>Merchandising i pozostałe</x:v>
      </x:c>
      <x:c r="D9" s="59" t="n">
        <x:f>'Assumptions'!D63</x:f>
        <x:v>760</x:v>
      </x:c>
      <x:c r="E9" s="59" t="n">
        <x:f>D9*(1+'Assumptions'!E51)</x:f>
        <x:v>782.8000000000001</x:v>
      </x:c>
      <x:c r="F9" s="59" t="n">
        <x:f>E9*(1+'Assumptions'!F51)</x:f>
        <x:v>806.2840000000001</x:v>
      </x:c>
      <x:c r="G9" s="59" t="n">
        <x:f>F9*(1+'Assumptions'!G51)</x:f>
        <x:v>826.4411</x:v>
      </x:c>
      <x:c r="H9" s="59" t="n">
        <x:f>G9*(1+'Assumptions'!H51)</x:f>
        <x:v>847.1021274999999</x:v>
      </x:c>
      <x:c r="I9" s="59" t="n">
        <x:f>H9*(1+'Assumptions'!I51)</x:f>
        <x:v>864.0441700499999</x:v>
      </x:c>
      <x:c r="J9" s="59" t="n">
        <x:f>I9*(1+'Assumptions'!J51)</x:f>
        <x:v>881.3250534509999</x:v>
      </x:c>
      <x:c r="K9" s="59" t="n">
        <x:f>J9*(1+'Assumptions'!K51)</x:f>
        <x:v>898.95155452002</x:v>
      </x:c>
      <x:c r="L9" s="59" t="n">
        <x:f>K9*(1+'Assumptions'!L51)</x:f>
        <x:v>916.9305856104204</x:v>
      </x:c>
      <x:c r="M9" s="59" t="n">
        <x:f>L9*(1+'Assumptions'!M51)</x:f>
        <x:v>935.2691973226288</x:v>
      </x:c>
      <x:c r="N9" s="59" t="n">
        <x:f>M9*(1+'Assumptions'!N51)</x:f>
        <x:v>953.9745812690813</x:v>
      </x:c>
      <x:c r="O9" s="59" t="n">
        <x:f>N9*(1+'Assumptions'!$F$7)</x:f>
        <x:v>977.8239458008082</x:v>
      </x:c>
      <x:c r="P9" s="2"/>
    </x:row>
    <x:row r="10" ht="21" customHeight="1">
      <x:c r="A10" s="2"/>
      <x:c r="B10" s="2"/>
      <x:c r="C10" s="2" t="str">
        <x:v>Eliminacje</x:v>
      </x:c>
      <x:c r="D10" s="59" t="n">
        <x:f>'Assumptions'!D64</x:f>
        <x:v>-20</x:v>
      </x:c>
      <x:c r="E10" s="59" t="n">
        <x:f>D10</x:f>
        <x:v>-20</x:v>
      </x:c>
      <x:c r="F10" s="59" t="n">
        <x:f>E10</x:f>
        <x:v>-20</x:v>
      </x:c>
      <x:c r="G10" s="59" t="n">
        <x:f>F10</x:f>
        <x:v>-20</x:v>
      </x:c>
      <x:c r="H10" s="59" t="n">
        <x:f>G10</x:f>
        <x:v>-20</x:v>
      </x:c>
      <x:c r="I10" s="59" t="n">
        <x:f>H10</x:f>
        <x:v>-20</x:v>
      </x:c>
      <x:c r="J10" s="59" t="n">
        <x:f>I10</x:f>
        <x:v>-20</x:v>
      </x:c>
      <x:c r="K10" s="59" t="n">
        <x:f>J10</x:f>
        <x:v>-20</x:v>
      </x:c>
      <x:c r="L10" s="59" t="n">
        <x:f>K10</x:f>
        <x:v>-20</x:v>
      </x:c>
      <x:c r="M10" s="59" t="n">
        <x:f>L10</x:f>
        <x:v>-20</x:v>
      </x:c>
      <x:c r="N10" s="59" t="n">
        <x:f>M10</x:f>
        <x:v>-20</x:v>
      </x:c>
      <x:c r="O10" s="59" t="n">
        <x:f>N10*(1+'Assumptions'!$F$7)</x:f>
        <x:v>-20.5</x:v>
      </x:c>
      <x:c r="P10" s="2"/>
    </x:row>
    <x:row r="11" ht="21" customHeight="1">
      <x:c r="A11" s="2"/>
      <x:c r="B11" s="2"/>
      <x:c r="C11" s="22" t="str">
        <x:v>Przychody grupy</x:v>
      </x:c>
      <x:c r="D11" s="54" t="n">
        <x:f>SUM(D6:D10)</x:f>
        <x:v>13500</x:v>
      </x:c>
      <x:c r="E11" s="54" t="n">
        <x:f>SUM(E6:E10)</x:f>
        <x:v>14350.65</x:v>
      </x:c>
      <x:c r="F11" s="54" t="n">
        <x:f>SUM(F6:F10)</x:f>
        <x:v>15203.445</x:v>
      </x:c>
      <x:c r="G11" s="54" t="n">
        <x:f>SUM(G6:G10)</x:f>
        <x:v>16027.918355000002</x:v>
      </x:c>
      <x:c r="H11" s="54" t="n">
        <x:f>SUM(H6:H10)</x:f>
        <x:v>16817.76555725</x:v>
      </x:c>
      <x:c r="I11" s="54" t="n">
        <x:f>SUM(I6:I10)</x:f>
        <x:v>17562.886504858754</x:v>
      </x:c>
      <x:c r="J11" s="54" t="n">
        <x:f>SUM(J6:J10)</x:f>
        <x:v>18272.69074105885</x:v>
      </x:c>
      <x:c r="K11" s="54" t="n">
        <x:f>SUM(K6:K10)</x:f>
        <x:v>18991.534668849723</x:v>
      </x:c>
      <x:c r="L11" s="54" t="n">
        <x:f>SUM(L6:L10)</x:f>
        <x:v>19664.404651987017</x:v>
      </x:c>
      <x:c r="M11" s="54" t="n">
        <x:f>SUM(M6:M10)</x:f>
        <x:v>20344.781066212025</x:v>
      </x:c>
      <x:c r="N11" s="54" t="n">
        <x:f>SUM(N6:N10)</x:f>
        <x:v>21048.902624166814</x:v>
      </x:c>
      <x:c r="O11" s="54" t="n">
        <x:f>SUM(O6:O10)</x:f>
        <x:v>21575.12518977098</x:v>
      </x:c>
      <x:c r="P11" s="2"/>
    </x:row>
    <x:row r="12" ht="21" customHeight="1">
      <x:c r="A12" s="2"/>
      <x:c r="B12" s="2"/>
      <x:c r="C12" s="56" t="str">
        <x:v>Roczny wzrost przychodów</x:v>
      </x:c>
      <x:c r="D12" s="57" t="str">
        <x:v>n.a.</x:v>
      </x:c>
      <x:c r="E12" s="57" t="n">
        <x:f>E11/D11-1</x:f>
        <x:v>0.06301111111111113</x:v>
      </x:c>
      <x:c r="F12" s="57" t="n">
        <x:f>F11/E11-1</x:f>
        <x:v>0.05942553124771344</x:v>
      </x:c>
      <x:c r="G12" s="57" t="n">
        <x:f>G11/F11-1</x:f>
        <x:v>0.05422937728916066</x:v>
      </x:c>
      <x:c r="H12" s="57" t="n">
        <x:f>H11/G11-1</x:f>
        <x:v>0.049279462545028574</x:v>
      </x:c>
      <x:c r="I12" s="57" t="n">
        <x:f>I11/H11-1</x:f>
        <x:v>0.04430558536877327</x:v>
      </x:c>
      <x:c r="J12" s="57" t="n">
        <x:f>J11/I11-1</x:f>
        <x:v>0.04041501014105675</x:v>
      </x:c>
      <x:c r="K12" s="57" t="n">
        <x:f>K11/J11-1</x:f>
        <x:v>0.039339796091203194</x:v>
      </x:c>
      <x:c r="L12" s="57" t="n">
        <x:f>L11/K11-1</x:f>
        <x:v>0.03542999525156576</x:v>
      </x:c>
      <x:c r="M12" s="57" t="n">
        <x:f>M11/L11-1</x:f>
        <x:v>0.03459939043495308</x:v>
      </x:c>
      <x:c r="N12" s="57" t="n">
        <x:f>N11/M11-1</x:f>
        <x:v>0.034609443850156296</x:v>
      </x:c>
      <x:c r="O12" s="57" t="n">
        <x:f>O11/N11-1</x:f>
        <x:v>0.02499999999999991</x:v>
      </x:c>
      <x:c r="P12" s="2"/>
    </x:row>
    <x:row r="13" ht="21" customHeight="1">
      <x:c r="A13" s="2"/>
      <x:c r="B13" s="2"/>
      <x:c r="C13" s="2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2"/>
    </x:row>
    <x:row r="14" ht="23" customHeight="1">
      <x:c r="A14" s="2"/>
      <x:c r="B14" s="2"/>
      <x:c r="C14" s="10" t="str">
        <x:v>Skorygowana EBITDA</x:v>
      </x:c>
      <x:c r="D14" s="51"/>
      <x:c r="E14" s="51"/>
      <x:c r="F14" s="51"/>
      <x:c r="G14" s="51"/>
      <x:c r="H14" s="51"/>
      <x:c r="I14" s="51"/>
      <x:c r="J14" s="51"/>
      <x:c r="K14" s="51"/>
      <x:c r="L14" s="51"/>
      <x:c r="M14" s="51"/>
      <x:c r="N14" s="51"/>
      <x:c r="O14" s="51"/>
      <x:c r="P14" s="2"/>
    </x:row>
    <x:row r="15" ht="21" customHeight="1">
      <x:c r="A15" s="2"/>
      <x:c r="B15" s="2"/>
      <x:c r="C15" s="2" t="str">
        <x:v>Recorded Music bez Downtown</x:v>
      </x:c>
      <x:c r="D15" s="59" t="n">
        <x:f>D6*'Assumptions'!D54</x:f>
        <x:v>2511.75</x:v>
      </x:c>
      <x:c r="E15" s="59" t="n">
        <x:f>E6*'Assumptions'!E54</x:f>
        <x:v>2727.465</x:v>
      </x:c>
      <x:c r="F15" s="59" t="n">
        <x:f>F6*'Assumptions'!F54</x:f>
        <x:v>2946.7112250000005</x:v>
      </x:c>
      <x:c r="G15" s="59" t="n">
        <x:f>G6*'Assumptions'!G54</x:f>
        <x:v>3167.4365752500003</x:v>
      </x:c>
      <x:c r="H15" s="59" t="n">
        <x:f>H6*'Assumptions'!H54</x:f>
        <x:v>3356.6029262718757</x:v>
      </x:c>
      <x:c r="I15" s="59" t="n">
        <x:f>I6*'Assumptions'!I54</x:f>
        <x:v>3539.830333715157</x:v>
      </x:c>
      <x:c r="J15" s="59" t="n">
        <x:f>J6*'Assumptions'!J54</x:f>
        <x:v>3714.891033855252</x:v>
      </x:c>
      <x:c r="K15" s="59" t="n">
        <x:f>K6*'Assumptions'!K54</x:f>
        <x:v>3898.2928614726106</x:v>
      </x:c>
      <x:c r="L15" s="59" t="n">
        <x:f>L6*'Assumptions'!L54</x:f>
        <x:v>4034.7331116241517</x:v>
      </x:c>
      <x:c r="M15" s="59" t="n">
        <x:f>M6*'Assumptions'!M54</x:f>
        <x:v>4175.948770530997</x:v>
      </x:c>
      <x:c r="N15" s="59" t="n">
        <x:f>N6*'Assumptions'!N54</x:f>
        <x:v>4322.106977499581</x:v>
      </x:c>
      <x:c r="O15" s="59" t="n">
        <x:f>N15*(1+'Assumptions'!$F$7)</x:f>
        <x:v>4430.1596519370705</x:v>
      </x:c>
      <x:c r="P15" s="2"/>
    </x:row>
    <x:row r="16" ht="21" customHeight="1">
      <x:c r="A16" s="2"/>
      <x:c r="B16" s="2"/>
      <x:c r="C16" s="2" t="str">
        <x:v>Publishing bez Downtown</x:v>
      </x:c>
      <x:c r="D16" s="59" t="n">
        <x:f>D7*'Assumptions'!D55</x:f>
        <x:v>553.7</x:v>
      </x:c>
      <x:c r="E16" s="59" t="n">
        <x:f>E7*'Assumptions'!E55</x:f>
        <x:v>598.9</x:v>
      </x:c>
      <x:c r="F16" s="59" t="n">
        <x:f>F7*'Assumptions'!F55</x:f>
        <x:v>641.1823400000001</x:v>
      </x:c>
      <x:c r="G16" s="59" t="n">
        <x:f>G7*'Assumptions'!G55</x:f>
        <x:v>683.1448674</x:v>
      </x:c>
      <x:c r="H16" s="59" t="n">
        <x:f>H7*'Assumptions'!H55</x:f>
        <x:v>717.30211077</x:v>
      </x:c>
      <x:c r="I16" s="59" t="n">
        <x:f>I7*'Assumptions'!I55</x:f>
        <x:v>756.929536203225</x:v>
      </x:c>
      <x:c r="J16" s="59" t="n">
        <x:f>J7*'Assumptions'!J55</x:f>
        <x:v>790.99136533237</x:v>
      </x:c>
      <x:c r="K16" s="59" t="n">
        <x:f>K7*'Assumptions'!K55</x:f>
        <x:v>830.6177288771762</x:v>
      </x:c>
      <x:c r="L16" s="59" t="n">
        <x:f>L7*'Assumptions'!L55</x:f>
        <x:v>863.8424380322633</x:v>
      </x:c>
      <x:c r="M16" s="59" t="n">
        <x:f>M7*'Assumptions'!M55</x:f>
        <x:v>894.0769233633924</x:v>
      </x:c>
      <x:c r="N16" s="59" t="n">
        <x:f>N7*'Assumptions'!N55</x:f>
        <x:v>925.3696156811111</x:v>
      </x:c>
      <x:c r="O16" s="59" t="n">
        <x:f>N16*(1+'Assumptions'!$F$7)</x:f>
        <x:v>948.5038560731388</x:v>
      </x:c>
      <x:c r="P16" s="2"/>
    </x:row>
    <x:row r="17" ht="21" customHeight="1">
      <x:c r="A17" s="2"/>
      <x:c r="B17" s="2"/>
      <x:c r="C17" s="2" t="str">
        <x:v>Downtown</x:v>
      </x:c>
      <x:c r="D17" s="59" t="n">
        <x:f>D8*'Assumptions'!D56</x:f>
        <x:v>35.75</x:v>
      </x:c>
      <x:c r="E17" s="59" t="n">
        <x:f>E8*'Assumptions'!E56</x:f>
        <x:v>49.14000000000001</x:v>
      </x:c>
      <x:c r="F17" s="59" t="n">
        <x:f>F8*'Assumptions'!F56</x:f>
        <x:v>64.44360000000002</x:v>
      </x:c>
      <x:c r="G17" s="59" t="n">
        <x:f>G8*'Assumptions'!G56</x:f>
        <x:v>81.12312000000003</x:v>
      </x:c>
      <x:c r="H17" s="59" t="n">
        <x:f>H8*'Assumptions'!H56</x:f>
        <x:v>94.58955792000003</x:v>
      </x:c>
      <x:c r="I17" s="59" t="n">
        <x:f>I8*'Assumptions'!I56</x:f>
        <x:v>104.32798286040003</x:v>
      </x:c>
      <x:c r="J17" s="59" t="n">
        <x:f>J8*'Assumptions'!J56</x:f>
        <x:v>114.30718122096002</x:v>
      </x:c>
      <x:c r="K17" s="59" t="n">
        <x:f>K8*'Assumptions'!K56</x:f>
        <x:v>119.45100437590321</x:v>
      </x:c>
      <x:c r="L17" s="59" t="n">
        <x:f>L8*'Assumptions'!L56</x:f>
        <x:v>124.22904455093934</x:v>
      </x:c>
      <x:c r="M17" s="59" t="n">
        <x:f>M8*'Assumptions'!M56</x:f>
        <x:v>129.19820633297692</x:v>
      </x:c>
      <x:c r="N17" s="59" t="n">
        <x:f>N8*'Assumptions'!N56</x:f>
        <x:v>134.366134586296</x:v>
      </x:c>
      <x:c r="O17" s="59" t="n">
        <x:f>N17*(1+'Assumptions'!$F$7)</x:f>
        <x:v>137.7252879509534</x:v>
      </x:c>
      <x:c r="P17" s="2"/>
    </x:row>
    <x:row r="18" ht="21" customHeight="1">
      <x:c r="A18" s="2"/>
      <x:c r="B18" s="2"/>
      <x:c r="C18" s="2" t="str">
        <x:v>Merchandising i pozostałe</x:v>
      </x:c>
      <x:c r="D18" s="59" t="n">
        <x:f>D9*'Assumptions'!D57</x:f>
        <x:v>15.200000000000001</x:v>
      </x:c>
      <x:c r="E18" s="59" t="n">
        <x:f>E9*'Assumptions'!E57</x:f>
        <x:v>23.484</x:v>
      </x:c>
      <x:c r="F18" s="59" t="n">
        <x:f>F9*'Assumptions'!F57</x:f>
        <x:v>28.219940000000005</x:v>
      </x:c>
      <x:c r="G18" s="59" t="n">
        <x:f>G9*'Assumptions'!G57</x:f>
        <x:v>33.057644</x:v>
      </x:c>
      <x:c r="H18" s="59" t="n">
        <x:f>H9*'Assumptions'!H57</x:f>
        <x:v>38.1195957375</x:v>
      </x:c>
      <x:c r="I18" s="59" t="n">
        <x:f>I9*'Assumptions'!I57</x:f>
        <x:v>43.2022085025</x:v>
      </x:c>
      <x:c r="J18" s="59" t="n">
        <x:f>J9*'Assumptions'!J57</x:f>
        <x:v>44.06625267255</x:v>
      </x:c>
      <x:c r="K18" s="59" t="n">
        <x:f>K9*'Assumptions'!K57</x:f>
        <x:v>44.947577726001</x:v>
      </x:c>
      <x:c r="L18" s="59" t="n">
        <x:f>L9*'Assumptions'!L57</x:f>
        <x:v>45.846529280521025</x:v>
      </x:c>
      <x:c r="M18" s="59" t="n">
        <x:f>M9*'Assumptions'!M57</x:f>
        <x:v>46.76345986613144</x:v>
      </x:c>
      <x:c r="N18" s="59" t="n">
        <x:f>N9*'Assumptions'!N57</x:f>
        <x:v>47.69872906345407</x:v>
      </x:c>
      <x:c r="O18" s="59" t="n">
        <x:f>N18*(1+'Assumptions'!$F$7)</x:f>
        <x:v>48.89119729004042</x:v>
      </x:c>
      <x:c r="P18" s="2"/>
    </x:row>
    <x:row r="19" ht="21" customHeight="1">
      <x:c r="A19" s="2"/>
      <x:c r="B19" s="2"/>
      <x:c r="C19" s="2" t="str">
        <x:v>Koszty centrali</x:v>
      </x:c>
      <x:c r="D19" s="59" t="n">
        <x:f>-D11*'Assumptions'!$F$33</x:f>
        <x:v>-221.97309417</x:v>
      </x:c>
      <x:c r="E19" s="59" t="n">
        <x:f>-E11*'Assumptions'!$F$33</x:f>
        <x:v>-235.959865470423</x:v>
      </x:c>
      <x:c r="F19" s="59" t="n">
        <x:f>-F11*'Assumptions'!$F$33</x:f>
        <x:v>-249.9819058291419</x:v>
      </x:c>
      <x:c r="G19" s="59" t="n">
        <x:f>-G11*'Assumptions'!$F$33</x:f>
        <x:v>-263.53826891581383</x:v>
      </x:c>
      <x:c r="H19" s="59" t="n">
        <x:f>-H11*'Assumptions'!$F$33</x:f>
        <x:v>-276.52529316803236</x:v>
      </x:c>
      <x:c r="I19" s="59" t="n">
        <x:f>-I11*'Assumptions'!$F$33</x:f>
        <x:v>-288.7769081511137</x:v>
      </x:c>
      <x:c r="J19" s="59" t="n">
        <x:f>-J11*'Assumptions'!$F$33</x:f>
        <x:v>-300.44782982254395</x:v>
      </x:c>
      <x:c r="K19" s="59" t="n">
        <x:f>-K11*'Assumptions'!$F$33</x:f>
        <x:v>-312.2673861838074</x:v>
      </x:c>
      <x:c r="L19" s="59" t="n">
        <x:f>-L11*'Assumptions'!$F$33</x:f>
        <x:v>-323.33101819351856</x:v>
      </x:c>
      <x:c r="M19" s="59" t="n">
        <x:f>-M11*'Assumptions'!$F$33</x:f>
        <x:v>-334.518074331727</x:v>
      </x:c>
      <x:c r="N19" s="59" t="n">
        <x:f>-N11*'Assumptions'!$F$33</x:f>
        <x:v>-346.0955588421734</x:v>
      </x:c>
      <x:c r="O19" s="59" t="n">
        <x:f>-O11*'Assumptions'!$F$33</x:f>
        <x:v>-354.74794781322765</x:v>
      </x:c>
      <x:c r="P19" s="2"/>
    </x:row>
    <x:row r="20" ht="21" customHeight="1">
      <x:c r="A20" s="2"/>
      <x:c r="B20" s="2"/>
      <x:c r="C20" s="22" t="str">
        <x:v>Skorygowana EBITDA grupy</x:v>
      </x:c>
      <x:c r="D20" s="54" t="n">
        <x:f>SUM(D15:D19)</x:f>
        <x:v>2894.4269058299997</x:v>
      </x:c>
      <x:c r="E20" s="54" t="n">
        <x:f>SUM(E15:E19)</x:f>
        <x:v>3163.029134529577</x:v>
      </x:c>
      <x:c r="F20" s="54" t="n">
        <x:f>SUM(F15:F19)</x:f>
        <x:v>3430.5751991708585</x:v>
      </x:c>
      <x:c r="G20" s="54" t="n">
        <x:f>SUM(G15:G19)</x:f>
        <x:v>3701.2239377341866</x:v>
      </x:c>
      <x:c r="H20" s="54" t="n">
        <x:f>SUM(H15:H19)</x:f>
        <x:v>3930.0888975313437</x:v>
      </x:c>
      <x:c r="I20" s="54" t="n">
        <x:f>SUM(I15:I19)</x:f>
        <x:v>4155.513153130169</x:v>
      </x:c>
      <x:c r="J20" s="54" t="n">
        <x:f>SUM(J15:J19)</x:f>
        <x:v>4363.808003258588</x:v>
      </x:c>
      <x:c r="K20" s="54" t="n">
        <x:f>SUM(K15:K19)</x:f>
        <x:v>4581.041786267883</x:v>
      </x:c>
      <x:c r="L20" s="54" t="n">
        <x:f>SUM(L15:L19)</x:f>
        <x:v>4745.320105294358</x:v>
      </x:c>
      <x:c r="M20" s="54" t="n">
        <x:f>SUM(M15:M19)</x:f>
        <x:v>4911.469285761771</x:v>
      </x:c>
      <x:c r="N20" s="54" t="n">
        <x:f>SUM(N15:N19)</x:f>
        <x:v>5083.445897988269</x:v>
      </x:c>
      <x:c r="O20" s="54" t="n">
        <x:f>SUM(O15:O19)</x:f>
        <x:v>5210.532045437976</x:v>
      </x:c>
      <x:c r="P20" s="2"/>
    </x:row>
    <x:row r="21" ht="21" customHeight="1">
      <x:c r="A21" s="2"/>
      <x:c r="B21" s="2"/>
      <x:c r="C21" s="56" t="str">
        <x:v>Marża skorygowanej EBITDA</x:v>
      </x:c>
      <x:c r="D21" s="57" t="n">
        <x:f>D20/D11</x:f>
        <x:v>0.21440199302444443</x:v>
      </x:c>
      <x:c r="E21" s="57" t="n">
        <x:f>E20/E11</x:f>
        <x:v>0.2204101650120083</x:v>
      </x:c>
      <x:c r="F21" s="57" t="n">
        <x:f>F20/F11</x:f>
        <x:v>0.22564459562756062</x:v>
      </x:c>
      <x:c r="G21" s="57" t="n">
        <x:f>G20/G11</x:f>
        <x:v>0.2309235582410843</x:v>
      </x:c>
      <x:c r="H21" s="57" t="n">
        <x:f>H20/H11</x:f>
        <x:v>0.23368674537368103</x:v>
      </x:c>
      <x:c r="I21" s="57" t="n">
        <x:f>I20/I11</x:f>
        <x:v>0.2366076414591958</x:v>
      </x:c>
      <x:c r="J21" s="57" t="n">
        <x:f>J20/J11</x:f>
        <x:v>0.23881584081391383</x:v>
      </x:c>
      <x:c r="K21" s="57" t="n">
        <x:f>K20/K11</x:f>
        <x:v>0.24121493424024312</x:v>
      </x:c>
      <x:c r="L21" s="57" t="n">
        <x:f>L20/L11</x:f>
        <x:v>0.24131521850140836</x:v>
      </x:c>
      <x:c r="M21" s="57" t="n">
        <x:f>M20/M11</x:f>
        <x:v>0.24141175418783864</x:v>
      </x:c>
      <x:c r="N21" s="57" t="n">
        <x:f>N20/N11</x:f>
        <x:v>0.24150645707068014</x:v>
      </x:c>
      <x:c r="O21" s="57" t="n">
        <x:f>O20/O11</x:f>
        <x:v>0.2415064570706802</x:v>
      </x:c>
      <x:c r="P21" s="2"/>
    </x:row>
    <x:row r="22" ht="21" customHeight="1">
      <x:c r="A22" s="2"/>
      <x:c r="B22" s="2"/>
      <x:c r="C22" s="2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2"/>
    </x:row>
    <x:row r="23" ht="23" customHeight="1">
      <x:c r="A23" s="2"/>
      <x:c r="B23" s="2"/>
      <x:c r="C23" s="10" t="str">
        <x:v>Od wyniku do FCFF</x:v>
      </x:c>
      <x:c r="D23" s="51"/>
      <x:c r="E23" s="51"/>
      <x:c r="F23" s="51"/>
      <x:c r="G23" s="51"/>
      <x:c r="H23" s="51"/>
      <x:c r="I23" s="51"/>
      <x:c r="J23" s="51"/>
      <x:c r="K23" s="51"/>
      <x:c r="L23" s="51"/>
      <x:c r="M23" s="51"/>
      <x:c r="N23" s="51"/>
      <x:c r="O23" s="51"/>
      <x:c r="P23" s="2"/>
    </x:row>
    <x:row r="24" ht="21" customHeight="1">
      <x:c r="A24" s="2"/>
      <x:c r="B24" s="2"/>
      <x:c r="C24" s="2" t="str">
        <x:v>Koszt wynagrodzeń w akcjach</x:v>
      </x:c>
      <x:c r="D24" s="59" t="n">
        <x:f>-D11*'Assumptions'!$F$34</x:f>
        <x:v>-242.99999999999997</x:v>
      </x:c>
      <x:c r="E24" s="59" t="n">
        <x:f>-E11*'Assumptions'!$F$34</x:f>
        <x:v>-258.3117</x:v>
      </x:c>
      <x:c r="F24" s="59" t="n">
        <x:f>-F11*'Assumptions'!$F$34</x:f>
        <x:v>-273.66200999999995</x:v>
      </x:c>
      <x:c r="G24" s="59" t="n">
        <x:f>-G11*'Assumptions'!$F$34</x:f>
        <x:v>-288.50253039</x:v>
      </x:c>
      <x:c r="H24" s="59" t="n">
        <x:f>-H11*'Assumptions'!$F$34</x:f>
        <x:v>-302.7197800305</x:v>
      </x:c>
      <x:c r="I24" s="59" t="n">
        <x:f>-I11*'Assumptions'!$F$34</x:f>
        <x:v>-316.1319570874575</x:v>
      </x:c>
      <x:c r="J24" s="59" t="n">
        <x:f>-J11*'Assumptions'!$F$34</x:f>
        <x:v>-328.9084333390593</x:v>
      </x:c>
      <x:c r="K24" s="59" t="n">
        <x:f>-K11*'Assumptions'!$F$34</x:f>
        <x:v>-341.847624039295</x:v>
      </x:c>
      <x:c r="L24" s="59" t="n">
        <x:f>-L11*'Assumptions'!$F$34</x:f>
        <x:v>-353.9592837357663</x:v>
      </x:c>
      <x:c r="M24" s="59" t="n">
        <x:f>-M11*'Assumptions'!$F$34</x:f>
        <x:v>-366.2060591918164</x:v>
      </x:c>
      <x:c r="N24" s="59" t="n">
        <x:f>-N11*'Assumptions'!$F$34</x:f>
        <x:v>-378.8802472350026</x:v>
      </x:c>
      <x:c r="O24" s="59" t="n">
        <x:f>-O11*'Assumptions'!$F$34</x:f>
        <x:v>-388.3522534158776</x:v>
      </x:c>
      <x:c r="P24" s="2"/>
    </x:row>
    <x:row r="25" ht="21" customHeight="1">
      <x:c r="A25" s="2"/>
      <x:c r="B25" s="2"/>
      <x:c r="C25" s="2" t="str">
        <x:v>Czynsze leasingowe</x:v>
      </x:c>
      <x:c r="D25" s="59" t="n">
        <x:f>-D11*'Assumptions'!$F$35</x:f>
        <x:v>-108</x:v>
      </x:c>
      <x:c r="E25" s="59" t="n">
        <x:f>-E11*'Assumptions'!$F$35</x:f>
        <x:v>-114.8052</x:v>
      </x:c>
      <x:c r="F25" s="59" t="n">
        <x:f>-F11*'Assumptions'!$F$35</x:f>
        <x:v>-121.62756</x:v>
      </x:c>
      <x:c r="G25" s="59" t="n">
        <x:f>-G11*'Assumptions'!$F$35</x:f>
        <x:v>-128.22334684</x:v>
      </x:c>
      <x:c r="H25" s="59" t="n">
        <x:f>-H11*'Assumptions'!$F$35</x:f>
        <x:v>-134.54212445800002</x:v>
      </x:c>
      <x:c r="I25" s="59" t="n">
        <x:f>-I11*'Assumptions'!$F$35</x:f>
        <x:v>-140.50309203887002</x:v>
      </x:c>
      <x:c r="J25" s="59" t="n">
        <x:f>-J11*'Assumptions'!$F$35</x:f>
        <x:v>-146.1815259284708</x:v>
      </x:c>
      <x:c r="K25" s="59" t="n">
        <x:f>-K11*'Assumptions'!$F$35</x:f>
        <x:v>-151.9322773507978</x:v>
      </x:c>
      <x:c r="L25" s="59" t="n">
        <x:f>-L11*'Assumptions'!$F$35</x:f>
        <x:v>-157.31523721589613</x:v>
      </x:c>
      <x:c r="M25" s="59" t="n">
        <x:f>-M11*'Assumptions'!$F$35</x:f>
        <x:v>-162.7582485296962</x:v>
      </x:c>
      <x:c r="N25" s="59" t="n">
        <x:f>-N11*'Assumptions'!$F$35</x:f>
        <x:v>-168.3912209933345</x:v>
      </x:c>
      <x:c r="O25" s="59" t="n">
        <x:f>-O11*'Assumptions'!$F$35</x:f>
        <x:v>-172.60100151816786</x:v>
      </x:c>
      <x:c r="P25" s="2"/>
    </x:row>
    <x:row r="26" ht="21" customHeight="1">
      <x:c r="A26" s="2"/>
      <x:c r="B26" s="2"/>
      <x:c r="C26" s="22" t="str">
        <x:v>EBITDA po SBC i czynszach</x:v>
      </x:c>
      <x:c r="D26" s="54" t="n">
        <x:f>SUM(D20,D24:D25)</x:f>
        <x:v>2543.4269058299997</x:v>
      </x:c>
      <x:c r="E26" s="54" t="n">
        <x:f>SUM(E20,E24:E25)</x:f>
        <x:v>2789.912234529577</x:v>
      </x:c>
      <x:c r="F26" s="54" t="n">
        <x:f>SUM(F20,F24:F25)</x:f>
        <x:v>3035.2856291708586</x:v>
      </x:c>
      <x:c r="G26" s="54" t="n">
        <x:f>SUM(G20,G24:G25)</x:f>
        <x:v>3284.4980605041865</x:v>
      </x:c>
      <x:c r="H26" s="54" t="n">
        <x:f>SUM(H20,H24:H25)</x:f>
        <x:v>3492.8269930428437</x:v>
      </x:c>
      <x:c r="I26" s="54" t="n">
        <x:f>SUM(I20,I24:I25)</x:f>
        <x:v>3698.878104003841</x:v>
      </x:c>
      <x:c r="J26" s="54" t="n">
        <x:f>SUM(J20,J24:J25)</x:f>
        <x:v>3888.7180439910576</x:v>
      </x:c>
      <x:c r="K26" s="54" t="n">
        <x:f>SUM(K20,K24:K25)</x:f>
        <x:v>4087.2618848777906</x:v>
      </x:c>
      <x:c r="L26" s="54" t="n">
        <x:f>SUM(L20,L24:L25)</x:f>
        <x:v>4234.045584342695</x:v>
      </x:c>
      <x:c r="M26" s="54" t="n">
        <x:f>SUM(M20,M24:M25)</x:f>
        <x:v>4382.504978040259</x:v>
      </x:c>
      <x:c r="N26" s="54" t="n">
        <x:f>SUM(N20,N24:N25)</x:f>
        <x:v>4536.1744297599325</x:v>
      </x:c>
      <x:c r="O26" s="54" t="n">
        <x:f>SUM(O20,O24:O25)</x:f>
        <x:v>4649.578790503931</x:v>
      </x:c>
      <x:c r="P26" s="2"/>
    </x:row>
    <x:row r="27" ht="21" customHeight="1">
      <x:c r="A27" s="2"/>
      <x:c r="B27" s="2"/>
      <x:c r="C27" s="2" t="str">
        <x:v>Amortyzacja bez leasingu</x:v>
      </x:c>
      <x:c r="D27" s="59" t="n">
        <x:f>-D11*'Assumptions'!$F$36</x:f>
        <x:v>-405</x:v>
      </x:c>
      <x:c r="E27" s="59" t="n">
        <x:f>-E11*'Assumptions'!$F$36</x:f>
        <x:v>-430.5195</x:v>
      </x:c>
      <x:c r="F27" s="59" t="n">
        <x:f>-F11*'Assumptions'!$F$36</x:f>
        <x:v>-456.10335</x:v>
      </x:c>
      <x:c r="G27" s="59" t="n">
        <x:f>-G11*'Assumptions'!$F$36</x:f>
        <x:v>-480.83755065</x:v>
      </x:c>
      <x:c r="H27" s="59" t="n">
        <x:f>-H11*'Assumptions'!$F$36</x:f>
        <x:v>-504.5329667175</x:v>
      </x:c>
      <x:c r="I27" s="59" t="n">
        <x:f>-I11*'Assumptions'!$F$36</x:f>
        <x:v>-526.8865951457626</x:v>
      </x:c>
      <x:c r="J27" s="59" t="n">
        <x:f>-J11*'Assumptions'!$F$36</x:f>
        <x:v>-548.1807222317655</x:v>
      </x:c>
      <x:c r="K27" s="59" t="n">
        <x:f>-K11*'Assumptions'!$F$36</x:f>
        <x:v>-569.7460400654917</x:v>
      </x:c>
      <x:c r="L27" s="59" t="n">
        <x:f>-L11*'Assumptions'!$F$36</x:f>
        <x:v>-589.9321395596105</x:v>
      </x:c>
      <x:c r="M27" s="59" t="n">
        <x:f>-M11*'Assumptions'!$F$36</x:f>
        <x:v>-610.3434319863608</x:v>
      </x:c>
      <x:c r="N27" s="59" t="n">
        <x:f>-N11*'Assumptions'!$F$36</x:f>
        <x:v>-631.4670787250044</x:v>
      </x:c>
      <x:c r="O27" s="59" t="n">
        <x:f>-O11*'Assumptions'!$F$36</x:f>
        <x:v>-647.2537556931294</x:v>
      </x:c>
      <x:c r="P27" s="2"/>
    </x:row>
    <x:row r="28" ht="21" customHeight="1">
      <x:c r="A28" s="2"/>
      <x:c r="B28" s="2"/>
      <x:c r="C28" s="22" t="str">
        <x:v>Znormalizowany EBIT</x:v>
      </x:c>
      <x:c r="D28" s="54" t="n">
        <x:f>SUM(D26:D27)</x:f>
        <x:v>2138.4269058299997</x:v>
      </x:c>
      <x:c r="E28" s="54" t="n">
        <x:f>SUM(E26:E27)</x:f>
        <x:v>2359.392734529577</x:v>
      </x:c>
      <x:c r="F28" s="54" t="n">
        <x:f>SUM(F26:F27)</x:f>
        <x:v>2579.1822791708587</x:v>
      </x:c>
      <x:c r="G28" s="54" t="n">
        <x:f>SUM(G26:G27)</x:f>
        <x:v>2803.6605098541863</x:v>
      </x:c>
      <x:c r="H28" s="54" t="n">
        <x:f>SUM(H26:H27)</x:f>
        <x:v>2988.2940263253436</x:v>
      </x:c>
      <x:c r="I28" s="54" t="n">
        <x:f>SUM(I26:I27)</x:f>
        <x:v>3171.9915088580783</x:v>
      </x:c>
      <x:c r="J28" s="54" t="n">
        <x:f>SUM(J26:J27)</x:f>
        <x:v>3340.5373217592924</x:v>
      </x:c>
      <x:c r="K28" s="54" t="n">
        <x:f>SUM(K26:K27)</x:f>
        <x:v>3517.515844812299</x:v>
      </x:c>
      <x:c r="L28" s="54" t="n">
        <x:f>SUM(L26:L27)</x:f>
        <x:v>3644.1134447830846</x:v>
      </x:c>
      <x:c r="M28" s="54" t="n">
        <x:f>SUM(M26:M27)</x:f>
        <x:v>3772.161546053898</x:v>
      </x:c>
      <x:c r="N28" s="54" t="n">
        <x:f>SUM(N26:N27)</x:f>
        <x:v>3904.7073510349283</x:v>
      </x:c>
      <x:c r="O28" s="54" t="n">
        <x:f>SUM(O26:O27)</x:f>
        <x:v>4002.3250348108013</x:v>
      </x:c>
      <x:c r="P28" s="2"/>
    </x:row>
    <x:row r="29" ht="21" customHeight="1">
      <x:c r="A29" s="2"/>
      <x:c r="B29" s="2"/>
      <x:c r="C29" s="2" t="str">
        <x:v>Podatek operacyjny</x:v>
      </x:c>
      <x:c r="D29" s="59" t="n">
        <x:f>-D28*'Assumptions'!$F$41</x:f>
        <x:v>-534.6067264574999</x:v>
      </x:c>
      <x:c r="E29" s="59" t="n">
        <x:f>-E28*'Assumptions'!$F$41</x:f>
        <x:v>-589.8481836323942</x:v>
      </x:c>
      <x:c r="F29" s="59" t="n">
        <x:f>-F28*'Assumptions'!$F$41</x:f>
        <x:v>-644.7955697927147</x:v>
      </x:c>
      <x:c r="G29" s="59" t="n">
        <x:f>-G28*'Assumptions'!$F$41</x:f>
        <x:v>-700.9151274635466</x:v>
      </x:c>
      <x:c r="H29" s="59" t="n">
        <x:f>-H28*'Assumptions'!$F$41</x:f>
        <x:v>-747.0735065813359</x:v>
      </x:c>
      <x:c r="I29" s="59" t="n">
        <x:f>-I28*'Assumptions'!$F$41</x:f>
        <x:v>-792.9978772145196</x:v>
      </x:c>
      <x:c r="J29" s="59" t="n">
        <x:f>-J28*'Assumptions'!$F$41</x:f>
        <x:v>-835.1343304398231</x:v>
      </x:c>
      <x:c r="K29" s="59" t="n">
        <x:f>-K28*'Assumptions'!$F$41</x:f>
        <x:v>-879.3789612030747</x:v>
      </x:c>
      <x:c r="L29" s="59" t="n">
        <x:f>-L28*'Assumptions'!$F$41</x:f>
        <x:v>-911.0283611957711</x:v>
      </x:c>
      <x:c r="M29" s="59" t="n">
        <x:f>-M28*'Assumptions'!$F$41</x:f>
        <x:v>-943.0403865134745</x:v>
      </x:c>
      <x:c r="N29" s="59" t="n">
        <x:f>-N28*'Assumptions'!$F$41</x:f>
        <x:v>-976.1768377587321</x:v>
      </x:c>
      <x:c r="O29" s="59" t="n">
        <x:f>-O28*'Assumptions'!$F$41</x:f>
        <x:v>-1000.5812587027003</x:v>
      </x:c>
      <x:c r="P29" s="2"/>
    </x:row>
    <x:row r="30" ht="21" customHeight="1">
      <x:c r="A30" s="2"/>
      <x:c r="B30" s="2"/>
      <x:c r="C30" s="22" t="str">
        <x:v>NOPAT</x:v>
      </x:c>
      <x:c r="D30" s="54" t="n">
        <x:f>SUM(D28:D29)</x:f>
        <x:v>1603.8201793724998</x:v>
      </x:c>
      <x:c r="E30" s="54" t="n">
        <x:f>SUM(E28:E29)</x:f>
        <x:v>1769.5445508971827</x:v>
      </x:c>
      <x:c r="F30" s="54" t="n">
        <x:f>SUM(F28:F29)</x:f>
        <x:v>1934.3867093781441</x:v>
      </x:c>
      <x:c r="G30" s="54" t="n">
        <x:f>SUM(G28:G29)</x:f>
        <x:v>2102.74538239064</x:v>
      </x:c>
      <x:c r="H30" s="54" t="n">
        <x:f>SUM(H28:H29)</x:f>
        <x:v>2241.2205197440076</x:v>
      </x:c>
      <x:c r="I30" s="54" t="n">
        <x:f>SUM(I28:I29)</x:f>
        <x:v>2378.9936316435587</x:v>
      </x:c>
      <x:c r="J30" s="54" t="n">
        <x:f>SUM(J28:J29)</x:f>
        <x:v>2505.402991319469</x:v>
      </x:c>
      <x:c r="K30" s="54" t="n">
        <x:f>SUM(K28:K29)</x:f>
        <x:v>2638.1368836092242</x:v>
      </x:c>
      <x:c r="L30" s="54" t="n">
        <x:f>SUM(L28:L29)</x:f>
        <x:v>2733.0850835873134</x:v>
      </x:c>
      <x:c r="M30" s="54" t="n">
        <x:f>SUM(M28:M29)</x:f>
        <x:v>2829.1211595404234</x:v>
      </x:c>
      <x:c r="N30" s="54" t="n">
        <x:f>SUM(N28:N29)</x:f>
        <x:v>2928.530513276196</x:v>
      </x:c>
      <x:c r="O30" s="54" t="n">
        <x:f>SUM(O28:O29)</x:f>
        <x:v>3001.743776108101</x:v>
      </x:c>
      <x:c r="P30" s="2"/>
    </x:row>
    <x:row r="31" ht="21" customHeight="1">
      <x:c r="A31" s="2"/>
      <x:c r="B31" s="2"/>
      <x:c r="C31" s="2" t="str">
        <x:v>Dodanie amortyzacji bez leasingu</x:v>
      </x:c>
      <x:c r="D31" s="14" t="n">
        <x:f>-D27</x:f>
        <x:v>405</x:v>
      </x:c>
      <x:c r="E31" s="14" t="n">
        <x:f>-E27</x:f>
        <x:v>430.5195</x:v>
      </x:c>
      <x:c r="F31" s="14" t="n">
        <x:f>-F27</x:f>
        <x:v>456.10335</x:v>
      </x:c>
      <x:c r="G31" s="14" t="n">
        <x:f>-G27</x:f>
        <x:v>480.83755065</x:v>
      </x:c>
      <x:c r="H31" s="14" t="n">
        <x:f>-H27</x:f>
        <x:v>504.5329667175</x:v>
      </x:c>
      <x:c r="I31" s="14" t="n">
        <x:f>-I27</x:f>
        <x:v>526.8865951457626</x:v>
      </x:c>
      <x:c r="J31" s="14" t="n">
        <x:f>-J27</x:f>
        <x:v>548.1807222317655</x:v>
      </x:c>
      <x:c r="K31" s="14" t="n">
        <x:f>-K27</x:f>
        <x:v>569.7460400654917</x:v>
      </x:c>
      <x:c r="L31" s="14" t="n">
        <x:f>-L27</x:f>
        <x:v>589.9321395596105</x:v>
      </x:c>
      <x:c r="M31" s="14" t="n">
        <x:f>-M27</x:f>
        <x:v>610.3434319863608</x:v>
      </x:c>
      <x:c r="N31" s="14" t="n">
        <x:f>-N27</x:f>
        <x:v>631.4670787250044</x:v>
      </x:c>
      <x:c r="O31" s="14" t="n">
        <x:f>-O27</x:f>
        <x:v>647.2537556931294</x:v>
      </x:c>
      <x:c r="P31" s="2"/>
    </x:row>
    <x:row r="32" ht="21" customHeight="1">
      <x:c r="A32" s="2"/>
      <x:c r="B32" s="2"/>
      <x:c r="C32" s="2" t="str">
        <x:v>Zwykły capex</x:v>
      </x:c>
      <x:c r="D32" s="59" t="n">
        <x:f>-D11*'Assumptions'!$F$37</x:f>
        <x:v>-216</x:v>
      </x:c>
      <x:c r="E32" s="59" t="n">
        <x:f>-E11*'Assumptions'!$F$37</x:f>
        <x:v>-229.6104</x:v>
      </x:c>
      <x:c r="F32" s="59" t="n">
        <x:f>-F11*'Assumptions'!$F$37</x:f>
        <x:v>-243.25512</x:v>
      </x:c>
      <x:c r="G32" s="59" t="n">
        <x:f>-G11*'Assumptions'!$F$37</x:f>
        <x:v>-256.44669368</x:v>
      </x:c>
      <x:c r="H32" s="59" t="n">
        <x:f>-H11*'Assumptions'!$F$37</x:f>
        <x:v>-269.08424891600004</x:v>
      </x:c>
      <x:c r="I32" s="59" t="n">
        <x:f>-I11*'Assumptions'!$F$37</x:f>
        <x:v>-281.00618407774004</x:v>
      </x:c>
      <x:c r="J32" s="59" t="n">
        <x:f>-J11*'Assumptions'!$F$37</x:f>
        <x:v>-292.3630518569416</x:v>
      </x:c>
      <x:c r="K32" s="59" t="n">
        <x:f>-K11*'Assumptions'!$F$37</x:f>
        <x:v>-303.8645547015956</x:v>
      </x:c>
      <x:c r="L32" s="59" t="n">
        <x:f>-L11*'Assumptions'!$F$37</x:f>
        <x:v>-314.63047443179227</x:v>
      </x:c>
      <x:c r="M32" s="59" t="n">
        <x:f>-M11*'Assumptions'!$F$37</x:f>
        <x:v>-325.5164970593924</x:v>
      </x:c>
      <x:c r="N32" s="59" t="n">
        <x:f>-N11*'Assumptions'!$F$37</x:f>
        <x:v>-336.782441986669</x:v>
      </x:c>
      <x:c r="O32" s="59" t="n">
        <x:f>-O11*'Assumptions'!$F$37</x:f>
        <x:v>-345.2020030363357</x:v>
      </x:c>
      <x:c r="P32" s="2"/>
    </x:row>
    <x:row r="33" ht="21" customHeight="1">
      <x:c r="A33" s="2"/>
      <x:c r="B33" s="2"/>
      <x:c r="C33" s="2" t="str">
        <x:v>Zaliczki tantiemowe netto</x:v>
      </x:c>
      <x:c r="D33" s="59" t="n">
        <x:f>-D11*'Assumptions'!$F$38</x:f>
        <x:v>-432</x:v>
      </x:c>
      <x:c r="E33" s="59" t="n">
        <x:f>-E11*'Assumptions'!$F$38</x:f>
        <x:v>-459.2208</x:v>
      </x:c>
      <x:c r="F33" s="59" t="n">
        <x:f>-F11*'Assumptions'!$F$38</x:f>
        <x:v>-486.51024</x:v>
      </x:c>
      <x:c r="G33" s="59" t="n">
        <x:f>-G11*'Assumptions'!$F$38</x:f>
        <x:v>-512.89338736</x:v>
      </x:c>
      <x:c r="H33" s="59" t="n">
        <x:f>-H11*'Assumptions'!$F$38</x:f>
        <x:v>-538.1684978320001</x:v>
      </x:c>
      <x:c r="I33" s="59" t="n">
        <x:f>-I11*'Assumptions'!$F$38</x:f>
        <x:v>-562.0123681554801</x:v>
      </x:c>
      <x:c r="J33" s="59" t="n">
        <x:f>-J11*'Assumptions'!$F$38</x:f>
        <x:v>-584.7261037138832</x:v>
      </x:c>
      <x:c r="K33" s="59" t="n">
        <x:f>-K11*'Assumptions'!$F$38</x:f>
        <x:v>-607.7291094031912</x:v>
      </x:c>
      <x:c r="L33" s="59" t="n">
        <x:f>-L11*'Assumptions'!$F$38</x:f>
        <x:v>-629.2609488635845</x:v>
      </x:c>
      <x:c r="M33" s="59" t="n">
        <x:f>-M11*'Assumptions'!$F$38</x:f>
        <x:v>-651.0329941187848</x:v>
      </x:c>
      <x:c r="N33" s="59" t="n">
        <x:f>-N11*'Assumptions'!$F$38</x:f>
        <x:v>-673.564883973338</x:v>
      </x:c>
      <x:c r="O33" s="59" t="n">
        <x:f>-O11*'Assumptions'!$F$38</x:f>
        <x:v>-690.4040060726715</x:v>
      </x:c>
      <x:c r="P33" s="2"/>
    </x:row>
    <x:row r="34" ht="21" customHeight="1">
      <x:c r="A34" s="2"/>
      <x:c r="B34" s="2"/>
      <x:c r="C34" s="2" t="str">
        <x:v>Utrzymaniowe zakupy katalogów</x:v>
      </x:c>
      <x:c r="D34" s="59" t="n">
        <x:f>-D11*'Assumptions'!$F$39</x:f>
        <x:v>-270</x:v>
      </x:c>
      <x:c r="E34" s="59" t="n">
        <x:f>-E11*'Assumptions'!$F$39</x:f>
        <x:v>-287.013</x:v>
      </x:c>
      <x:c r="F34" s="59" t="n">
        <x:f>-F11*'Assumptions'!$F$39</x:f>
        <x:v>-304.0689</x:v>
      </x:c>
      <x:c r="G34" s="59" t="n">
        <x:f>-G11*'Assumptions'!$F$39</x:f>
        <x:v>-320.55836710000005</x:v>
      </x:c>
      <x:c r="H34" s="59" t="n">
        <x:f>-H11*'Assumptions'!$F$39</x:f>
        <x:v>-336.35531114500003</x:v>
      </x:c>
      <x:c r="I34" s="59" t="n">
        <x:f>-I11*'Assumptions'!$F$39</x:f>
        <x:v>-351.2577300971751</x:v>
      </x:c>
      <x:c r="J34" s="59" t="n">
        <x:f>-J11*'Assumptions'!$F$39</x:f>
        <x:v>-365.453814821177</x:v>
      </x:c>
      <x:c r="K34" s="59" t="n">
        <x:f>-K11*'Assumptions'!$F$39</x:f>
        <x:v>-379.8306933769945</x:v>
      </x:c>
      <x:c r="L34" s="59" t="n">
        <x:f>-L11*'Assumptions'!$F$39</x:f>
        <x:v>-393.2880930397404</x:v>
      </x:c>
      <x:c r="M34" s="59" t="n">
        <x:f>-M11*'Assumptions'!$F$39</x:f>
        <x:v>-406.8956213242405</x:v>
      </x:c>
      <x:c r="N34" s="59" t="n">
        <x:f>-N11*'Assumptions'!$F$39</x:f>
        <x:v>-420.9780524833363</x:v>
      </x:c>
      <x:c r="O34" s="59" t="n">
        <x:f>-O11*'Assumptions'!$F$39</x:f>
        <x:v>-431.5025037954196</x:v>
      </x:c>
      <x:c r="P34" s="2"/>
    </x:row>
    <x:row r="35" ht="21" customHeight="1">
      <x:c r="A35" s="2"/>
      <x:c r="B35" s="2"/>
      <x:c r="C35" s="2" t="str">
        <x:v>Zmiana pozostałego NWC</x:v>
      </x:c>
      <x:c r="D35" s="59" t="n">
        <x:v>0</x:v>
      </x:c>
      <x:c r="E35" s="59" t="n">
        <x:f>-(E11-D11)*'Assumptions'!$F$40</x:f>
        <x:v>-85.06499999999997</x:v>
      </x:c>
      <x:c r="F35" s="59" t="n">
        <x:f>-(F11-E11)*'Assumptions'!$F$40</x:f>
        <x:v>-85.27950000000001</x:v>
      </x:c>
      <x:c r="G35" s="59" t="n">
        <x:f>-(G11-F11)*'Assumptions'!$F$40</x:f>
        <x:v>-82.4473355000002</x:v>
      </x:c>
      <x:c r="H35" s="59" t="n">
        <x:f>-(H11-G11)*'Assumptions'!$F$40</x:f>
        <x:v>-78.98472022499992</x:v>
      </x:c>
      <x:c r="I35" s="59" t="n">
        <x:f>-(I11-H11)*'Assumptions'!$F$40</x:f>
        <x:v>-74.51209476087534</x:v>
      </x:c>
      <x:c r="J35" s="59" t="n">
        <x:f>-(J11-I11)*'Assumptions'!$F$40</x:f>
        <x:v>-70.9804236200096</x:v>
      </x:c>
      <x:c r="K35" s="59" t="n">
        <x:f>-(K11-J11)*'Assumptions'!$F$40</x:f>
        <x:v>-71.88439277908729</x:v>
      </x:c>
      <x:c r="L35" s="59" t="n">
        <x:f>-(L11-K11)*'Assumptions'!$F$40</x:f>
        <x:v>-67.28699831372943</x:v>
      </x:c>
      <x:c r="M35" s="59" t="n">
        <x:f>-(M11-L11)*'Assumptions'!$F$40</x:f>
        <x:v>-68.03764142250076</x:v>
      </x:c>
      <x:c r="N35" s="59" t="n">
        <x:f>-(N11-M11)*'Assumptions'!$F$40</x:f>
        <x:v>-70.41215579547898</x:v>
      </x:c>
      <x:c r="O35" s="59" t="n">
        <x:f>-(O11-N11)*'Assumptions'!$F$40</x:f>
        <x:v>-52.622256560416645</x:v>
      </x:c>
      <x:c r="P35" s="2"/>
    </x:row>
    <x:row r="36" ht="21" customHeight="1">
      <x:c r="A36" s="2"/>
      <x:c r="B36" s="2"/>
      <x:c r="C36" s="22" t="str">
        <x:v>FCFF</x:v>
      </x:c>
      <x:c r="D36" s="54" t="n">
        <x:f>SUM(D30:D35)</x:f>
        <x:v>1090.8201793724998</x:v>
      </x:c>
      <x:c r="E36" s="54" t="n">
        <x:f>SUM(E30:E35)</x:f>
        <x:v>1139.1548508971828</x:v>
      </x:c>
      <x:c r="F36" s="54" t="n">
        <x:f>SUM(F30:F35)</x:f>
        <x:v>1271.376299378144</x:v>
      </x:c>
      <x:c r="G36" s="54" t="n">
        <x:f>SUM(G30:G35)</x:f>
        <x:v>1411.23714940064</x:v>
      </x:c>
      <x:c r="H36" s="54" t="n">
        <x:f>SUM(H30:H35)</x:f>
        <x:v>1523.1607083435078</x:v>
      </x:c>
      <x:c r="I36" s="54" t="n">
        <x:f>SUM(I30:I35)</x:f>
        <x:v>1637.0918496980512</x:v>
      </x:c>
      <x:c r="J36" s="54" t="n">
        <x:f>SUM(J30:J35)</x:f>
        <x:v>1740.0603195392232</x:v>
      </x:c>
      <x:c r="K36" s="54" t="n">
        <x:f>SUM(K30:K35)</x:f>
        <x:v>1844.5741734138473</x:v>
      </x:c>
      <x:c r="L36" s="54" t="n">
        <x:f>SUM(L30:L35)</x:f>
        <x:v>1918.5507084980777</x:v>
      </x:c>
      <x:c r="M36" s="54" t="n">
        <x:f>SUM(M30:M35)</x:f>
        <x:v>1987.9818376018661</x:v>
      </x:c>
      <x:c r="N36" s="54" t="n">
        <x:f>SUM(N30:N35)</x:f>
        <x:v>2058.2600577623775</x:v>
      </x:c>
      <x:c r="O36" s="54" t="n">
        <x:f>SUM(O30:O35)</x:f>
        <x:v>2129.266762336387</x:v>
      </x:c>
      <x:c r="P36" s="2"/>
    </x:row>
    <x:row r="37" ht="21" customHeight="1">
      <x:c r="A37" s="2"/>
      <x:c r="B37" s="2"/>
      <x:c r="C37" s="56" t="str">
        <x:v>FCFF / przychody</x:v>
      </x:c>
      <x:c r="D37" s="57" t="n">
        <x:f>D36/D11</x:f>
        <x:v>0.08080149476833332</x:v>
      </x:c>
      <x:c r="E37" s="57" t="n">
        <x:f>E36/E11</x:f>
        <x:v>0.07938001769238208</x:v>
      </x:c>
      <x:c r="F37" s="57" t="n">
        <x:f>F36/F11</x:f>
        <x:v>0.08362422460028922</x:v>
      </x:c>
      <x:c r="G37" s="57" t="n">
        <x:f>G36/G11</x:f>
        <x:v>0.08804868593309227</x:v>
      </x:c>
      <x:c r="H37" s="57" t="n">
        <x:f>H36/H11</x:f>
        <x:v>0.09056855401857387</x:v>
      </x:c>
      <x:c r="I37" s="57" t="n">
        <x:f>I36/I11</x:f>
        <x:v>0.09321314291048635</x:v>
      </x:c>
      <x:c r="J37" s="57" t="n">
        <x:f>J36/J11</x:f>
        <x:v>0.09522737204922409</x:v>
      </x:c>
      <x:c r="K37" s="57" t="n">
        <x:f>K36/K11</x:f>
        <x:v>0.09712612516982912</x:v>
      </x:c>
      <x:c r="L37" s="57" t="n">
        <x:f>L36/L11</x:f>
        <x:v>0.09756464751676146</x:v>
      </x:c>
      <x:c r="M37" s="57" t="n">
        <x:f>M36/M11</x:f>
        <x:v>0.09771458494107091</x:v>
      </x:c>
      <x:c r="N37" s="57" t="n">
        <x:f>N36/N11</x:f>
        <x:v>0.09778467288832594</x:v>
      </x:c>
      <x:c r="O37" s="57" t="n">
        <x:f>O36/O11</x:f>
        <x:v>0.09869081841276625</x:v>
      </x:c>
      <x:c r="P37" s="2"/>
    </x:row>
    <x:row r="38" ht="21" customHeight="1">
      <x:c r="A38" s="2"/>
      <x:c r="B38" s="2"/>
      <x:c r="C38" s="2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2"/>
    </x:row>
    <x:row r="39" ht="23" customHeight="1">
      <x:c r="A39" s="2"/>
      <x:c r="B39" s="2"/>
      <x:c r="C39" s="10" t="str">
        <x:v>Dyskontowanie na 5 listopada 2026</x:v>
      </x:c>
      <x:c r="D39" s="51"/>
      <x:c r="E39" s="51"/>
      <x:c r="F39" s="51"/>
      <x:c r="G39" s="51"/>
      <x:c r="H39" s="51"/>
      <x:c r="I39" s="51"/>
      <x:c r="J39" s="51"/>
      <x:c r="K39" s="51"/>
      <x:c r="L39" s="51"/>
      <x:c r="M39" s="51"/>
      <x:c r="N39" s="51"/>
      <x:c r="O39" s="51"/>
      <x:c r="P39" s="2"/>
    </x:row>
    <x:row r="40" ht="21" customHeight="1">
      <x:c r="A40" s="2"/>
      <x:c r="B40" s="2"/>
      <x:c r="C40" s="2" t="str">
        <x:v>Lata do przepływu / terminala</x:v>
      </x:c>
      <x:c r="D40" s="60" t="n">
        <x:f>'Assumptions'!$F$8</x:f>
        <x:v>0.15342465753424658</x:v>
      </x:c>
      <x:c r="E40" s="60" t="n">
        <x:f>1+'Assumptions'!$F$8</x:f>
        <x:v>1.1534246575342466</x:v>
      </x:c>
      <x:c r="F40" s="60" t="n">
        <x:f>2+'Assumptions'!$F$8</x:f>
        <x:v>2.1534246575342464</x:v>
      </x:c>
      <x:c r="G40" s="60" t="n">
        <x:f>3+'Assumptions'!$F$8</x:f>
        <x:v>3.1534246575342464</x:v>
      </x:c>
      <x:c r="H40" s="60" t="n">
        <x:f>4+'Assumptions'!$F$8</x:f>
        <x:v>4.153424657534247</x:v>
      </x:c>
      <x:c r="I40" s="60" t="n">
        <x:f>5+'Assumptions'!$F$8</x:f>
        <x:v>5.153424657534247</x:v>
      </x:c>
      <x:c r="J40" s="60" t="n">
        <x:f>6+'Assumptions'!$F$8</x:f>
        <x:v>6.153424657534247</x:v>
      </x:c>
      <x:c r="K40" s="60" t="n">
        <x:f>7+'Assumptions'!$F$8</x:f>
        <x:v>7.153424657534247</x:v>
      </x:c>
      <x:c r="L40" s="60" t="n">
        <x:f>8+'Assumptions'!$F$8</x:f>
        <x:v>8.153424657534247</x:v>
      </x:c>
      <x:c r="M40" s="60" t="n">
        <x:f>9+'Assumptions'!$F$8</x:f>
        <x:v>9.153424657534247</x:v>
      </x:c>
      <x:c r="N40" s="60" t="n">
        <x:f>10+'Assumptions'!$F$8</x:f>
        <x:v>10.153424657534247</x:v>
      </x:c>
      <x:c r="O40" s="60" t="n">
        <x:f>N40</x:f>
        <x:v>10.153424657534247</x:v>
      </x:c>
      <x:c r="P40" s="2"/>
    </x:row>
    <x:row r="41" ht="21" customHeight="1">
      <x:c r="A41" s="2"/>
      <x:c r="B41" s="2"/>
      <x:c r="C41" s="2" t="str">
        <x:v>Przepływ podlegający dyskontowaniu</x:v>
      </x:c>
      <x:c r="D41" s="14" t="n">
        <x:f>D36*'Assumptions'!$F$8</x:f>
        <x:v>167.3587124516712</x:v>
      </x:c>
      <x:c r="E41" s="14" t="n">
        <x:f>E36</x:f>
        <x:v>1139.1548508971828</x:v>
      </x:c>
      <x:c r="F41" s="14" t="n">
        <x:f>F36</x:f>
        <x:v>1271.376299378144</x:v>
      </x:c>
      <x:c r="G41" s="14" t="n">
        <x:f>G36</x:f>
        <x:v>1411.23714940064</x:v>
      </x:c>
      <x:c r="H41" s="14" t="n">
        <x:f>H36</x:f>
        <x:v>1523.1607083435078</x:v>
      </x:c>
      <x:c r="I41" s="14" t="n">
        <x:f>I36</x:f>
        <x:v>1637.0918496980512</x:v>
      </x:c>
      <x:c r="J41" s="14" t="n">
        <x:f>J36</x:f>
        <x:v>1740.0603195392232</x:v>
      </x:c>
      <x:c r="K41" s="14" t="n">
        <x:f>K36</x:f>
        <x:v>1844.5741734138473</x:v>
      </x:c>
      <x:c r="L41" s="14" t="n">
        <x:f>L36</x:f>
        <x:v>1918.5507084980777</x:v>
      </x:c>
      <x:c r="M41" s="14" t="n">
        <x:f>M36</x:f>
        <x:v>1987.9818376018661</x:v>
      </x:c>
      <x:c r="N41" s="14" t="n">
        <x:f>N36</x:f>
        <x:v>2058.2600577623775</x:v>
      </x:c>
      <x:c r="O41" s="14" t="str">
        <x:v>n.a.</x:v>
      </x:c>
      <x:c r="P41" s="2"/>
    </x:row>
    <x:row r="42" ht="21" customHeight="1">
      <x:c r="A42" s="2"/>
      <x:c r="B42" s="2"/>
      <x:c r="C42" s="2" t="str">
        <x:v>Współczynnik dyskontowy</x:v>
      </x:c>
      <x:c r="D42" s="60" t="n">
        <x:f>(1+'Assumptions'!$F$6)^(-D40)</x:f>
        <x:v>0.9886483630862654</x:v>
      </x:c>
      <x:c r="E42" s="60" t="n">
        <x:f>(1+'Assumptions'!$F$6)^(-E40)</x:f>
        <x:v>0.9177520195741614</x:v>
      </x:c>
      <x:c r="F42" s="60" t="n">
        <x:f>(1+'Assumptions'!$F$6)^(-F40)</x:f>
        <x:v>0.8519396793447773</x:v>
      </x:c>
      <x:c r="G42" s="60" t="n">
        <x:f>(1+'Assumptions'!$F$6)^(-G40)</x:f>
        <x:v>0.7908467666231398</x:v>
      </x:c>
      <x:c r="H42" s="60" t="n">
        <x:f>(1+'Assumptions'!$F$6)^(-H40)</x:f>
        <x:v>0.7341348494993174</x:v>
      </x:c>
      <x:c r="I42" s="60" t="n">
        <x:f>(1+'Assumptions'!$F$6)^(-I40)</x:f>
        <x:v>0.6814897651420909</x:v>
      </x:c>
      <x:c r="J42" s="60" t="n">
        <x:f>(1+'Assumptions'!$F$6)^(-J40)</x:f>
        <x:v>0.63261987945425</x:v>
      </x:c>
      <x:c r="K42" s="60" t="n">
        <x:f>(1+'Assumptions'!$F$6)^(-K40)</x:f>
        <x:v>0.587254471528661</x:v>
      </x:c>
      <x:c r="L42" s="60" t="n">
        <x:f>(1+'Assumptions'!$F$6)^(-L40)</x:f>
        <x:v>0.5451422339555915</x:v>
      </x:c>
      <x:c r="M42" s="60" t="n">
        <x:f>(1+'Assumptions'!$F$6)^(-M40)</x:f>
        <x:v>0.506049880673559</x:v>
      </x:c>
      <x:c r="N42" s="60" t="n">
        <x:f>(1+'Assumptions'!$F$6)^(-N40)</x:f>
        <x:v>0.4697608546517141</x:v>
      </x:c>
      <x:c r="O42" s="60" t="str">
        <x:v>n.a.</x:v>
      </x:c>
      <x:c r="P42" s="2"/>
    </x:row>
    <x:row r="43" ht="21" customHeight="1">
      <x:c r="A43" s="2"/>
      <x:c r="B43" s="2"/>
      <x:c r="C43" s="22" t="str">
        <x:v>Wartość bieżąca FCFF</x:v>
      </x:c>
      <x:c r="D43" s="54" t="n">
        <x:f>D41*D42</x:f>
        <x:v>165.45891711356973</x:v>
      </x:c>
      <x:c r="E43" s="54" t="n">
        <x:f>E41*E42</x:f>
        <x:v>1045.4616650185922</x:v>
      </x:c>
      <x:c r="F43" s="54" t="n">
        <x:f>F41*F42</x:f>
        <x:v>1083.1359168187657</x:v>
      </x:c>
      <x:c r="G43" s="54" t="n">
        <x:f>G41*G42</x:f>
        <x:v>1116.072336541953</x:v>
      </x:c>
      <x:c r="H43" s="54" t="n">
        <x:f>H41*H42</x:f>
        <x:v>1118.2053573830349</x:v>
      </x:c>
      <x:c r="I43" s="54" t="n">
        <x:f>I41*I42</x:f>
        <x:v>1115.6613401667562</x:v>
      </x:c>
      <x:c r="J43" s="54" t="n">
        <x:f>J41*J42</x:f>
        <x:v>1100.796749590027</x:v>
      </x:c>
      <x:c r="K43" s="54" t="n">
        <x:f>K41*K42</x:f>
        <x:v>1083.2344314035656</x:v>
      </x:c>
      <x:c r="L43" s="54" t="n">
        <x:f>L41*L42</x:f>
        <x:v>1045.8830191877248</x:v>
      </x:c>
      <x:c r="M43" s="54" t="n">
        <x:f>M41*M42</x:f>
        <x:v>1006.017971699627</x:v>
      </x:c>
      <x:c r="N43" s="54" t="n">
        <x:f>N41*N42</x:f>
        <x:v>966.8900038299408</x:v>
      </x:c>
      <x:c r="O43" s="54" t="str">
        <x:v>n.a.</x:v>
      </x:c>
      <x:c r="P43" s="2"/>
    </x:row>
    <x:row r="44" ht="21" customHeight="1">
      <x:c r="A44" s="2"/>
      <x:c r="B44" s="2"/>
      <x:c r="C44" s="2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2"/>
    </x:row>
    <x:row r="45" ht="21" customHeight="1">
      <x:c r="A45" s="2"/>
      <x:c r="B45" s="2"/>
      <x:c r="C45" s="2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2"/>
    </x:row>
    <x:row r="46" ht="21" customHeight="1">
      <x:c r="A46" s="2"/>
      <x:c r="B46" s="2"/>
      <x:c r="C46" s="2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2"/>
    </x:row>
    <x:row r="47" ht="23" customHeight="1">
      <x:c r="A47" s="2"/>
      <x:c r="B47" s="2"/>
      <x:c r="C47" s="10" t="str">
        <x:v>Wartość przedsiębiorstwa i akcji</x:v>
      </x:c>
      <x:c r="D47" s="11"/>
      <x:c r="E47" s="11"/>
      <x:c r="F47" s="11"/>
      <x:c r="G47" s="3"/>
      <x:c r="H47" s="3"/>
      <x:c r="I47" s="3"/>
      <x:c r="J47" s="3"/>
      <x:c r="K47" s="3"/>
      <x:c r="L47" s="3"/>
      <x:c r="M47" s="3"/>
      <x:c r="N47" s="3"/>
      <x:c r="O47" s="3"/>
      <x:c r="P47" s="2"/>
    </x:row>
    <x:row r="48" ht="21" customHeight="1">
      <x:c r="A48" s="2"/>
      <x:c r="B48" s="2"/>
      <x:c r="C48" s="2" t="str">
        <x:v>PV pozostałej części 2026</x:v>
      </x:c>
      <x:c r="D48" s="3"/>
      <x:c r="E48" s="3"/>
      <x:c r="F48" s="3" t="n">
        <x:f>D43</x:f>
        <x:v>165.45891711356973</x:v>
      </x:c>
      <x:c r="G48" s="3"/>
      <x:c r="H48" s="3"/>
      <x:c r="I48" s="3"/>
      <x:c r="J48" s="3"/>
      <x:c r="K48" s="3"/>
      <x:c r="L48" s="3"/>
      <x:c r="M48" s="3"/>
      <x:c r="N48" s="3"/>
      <x:c r="O48" s="3"/>
      <x:c r="P48" s="2"/>
    </x:row>
    <x:row r="49" ht="21" customHeight="1">
      <x:c r="A49" s="2"/>
      <x:c r="B49" s="2"/>
      <x:c r="C49" s="2" t="str">
        <x:v>PV FCFF 2027–2036</x:v>
      </x:c>
      <x:c r="D49" s="3"/>
      <x:c r="E49" s="3"/>
      <x:c r="F49" s="3" t="n">
        <x:f>SUM(E43:N43)</x:f>
        <x:v>10681.358791639987</x:v>
      </x:c>
      <x:c r="G49" s="3"/>
      <x:c r="H49" s="3"/>
      <x:c r="I49" s="3"/>
      <x:c r="J49" s="3"/>
      <x:c r="K49" s="3"/>
      <x:c r="L49" s="3"/>
      <x:c r="M49" s="3"/>
      <x:c r="N49" s="3"/>
      <x:c r="O49" s="3"/>
      <x:c r="P49" s="2"/>
    </x:row>
    <x:row r="50" ht="21" customHeight="1">
      <x:c r="A50" s="2"/>
      <x:c r="B50" s="2"/>
      <x:c r="C50" s="2" t="str">
        <x:v>Znormalizowany FCFF 2037</x:v>
      </x:c>
      <x:c r="D50" s="3"/>
      <x:c r="E50" s="3"/>
      <x:c r="F50" s="3" t="n">
        <x:f>O36</x:f>
        <x:v>2129.266762336387</x:v>
      </x:c>
      <x:c r="G50" s="3"/>
      <x:c r="H50" s="3"/>
      <x:c r="I50" s="3"/>
      <x:c r="J50" s="3"/>
      <x:c r="K50" s="3"/>
      <x:c r="L50" s="3"/>
      <x:c r="M50" s="3"/>
      <x:c r="N50" s="3"/>
      <x:c r="O50" s="3"/>
      <x:c r="P50" s="2"/>
    </x:row>
    <x:row r="51" ht="21" customHeight="1">
      <x:c r="A51" s="2"/>
      <x:c r="B51" s="2"/>
      <x:c r="C51" s="2" t="str">
        <x:v>Wartość terminalna na koniec 2036</x:v>
      </x:c>
      <x:c r="D51" s="3"/>
      <x:c r="E51" s="3"/>
      <x:c r="F51" s="3" t="n">
        <x:f>F50/('Assumptions'!F6-'Assumptions'!F7)</x:f>
        <x:v>40751.51698251457</x:v>
      </x:c>
      <x:c r="G51" s="3"/>
      <x:c r="H51" s="3"/>
      <x:c r="I51" s="3"/>
      <x:c r="J51" s="3"/>
      <x:c r="K51" s="3"/>
      <x:c r="L51" s="3"/>
      <x:c r="M51" s="3"/>
      <x:c r="N51" s="3"/>
      <x:c r="O51" s="3"/>
      <x:c r="P51" s="2"/>
    </x:row>
    <x:row r="52" ht="21" customHeight="1">
      <x:c r="A52" s="2"/>
      <x:c r="B52" s="2"/>
      <x:c r="C52" s="2" t="str">
        <x:v>PV wartości terminalnej</x:v>
      </x:c>
      <x:c r="D52" s="3"/>
      <x:c r="E52" s="3"/>
      <x:c r="F52" s="3" t="n">
        <x:f>F51*N42</x:f>
        <x:v>19143.467446059887</x:v>
      </x:c>
      <x:c r="G52" s="3"/>
      <x:c r="H52" s="3"/>
      <x:c r="I52" s="3"/>
      <x:c r="J52" s="3"/>
      <x:c r="K52" s="3"/>
      <x:c r="L52" s="3"/>
      <x:c r="M52" s="3"/>
      <x:c r="N52" s="3"/>
      <x:c r="O52" s="3"/>
      <x:c r="P52" s="2"/>
    </x:row>
    <x:row r="53" ht="21" customHeight="1">
      <x:c r="A53" s="2"/>
      <x:c r="B53" s="2"/>
      <x:c r="C53" s="22" t="str">
        <x:v>Wartość przedsiębiorstwa</x:v>
      </x:c>
      <x:c r="D53" s="40"/>
      <x:c r="E53" s="40"/>
      <x:c r="F53" s="40" t="n">
        <x:f>SUM(F48:F49,F52)</x:f>
        <x:v>29990.285154813442</x:v>
      </x:c>
      <x:c r="G53" s="3"/>
      <x:c r="H53" s="3"/>
      <x:c r="I53" s="3"/>
      <x:c r="J53" s="3"/>
      <x:c r="K53" s="3"/>
      <x:c r="L53" s="3"/>
      <x:c r="M53" s="3"/>
      <x:c r="N53" s="3"/>
      <x:c r="O53" s="3"/>
      <x:c r="P53" s="2"/>
    </x:row>
    <x:row r="54" ht="21" customHeight="1">
      <x:c r="A54" s="2"/>
      <x:c r="B54" s="2"/>
      <x:c r="C54" s="2" t="str">
        <x:v>Finansowy dług netto — przybliżenie</x:v>
      </x:c>
      <x:c r="D54" s="3"/>
      <x:c r="E54" s="3"/>
      <x:c r="F54" s="3" t="n">
        <x:f>-'Assumptions'!F24</x:f>
        <x:v>-4395</x:v>
      </x:c>
      <x:c r="G54" s="3"/>
      <x:c r="H54" s="3"/>
      <x:c r="I54" s="3"/>
      <x:c r="J54" s="3"/>
      <x:c r="K54" s="3"/>
      <x:c r="L54" s="3"/>
      <x:c r="M54" s="3"/>
      <x:c r="N54" s="3"/>
      <x:c r="O54" s="3"/>
      <x:c r="P54" s="2"/>
    </x:row>
    <x:row r="55" ht="21" customHeight="1">
      <x:c r="A55" s="2"/>
      <x:c r="B55" s="2"/>
      <x:c r="C55" s="2" t="str">
        <x:v>Deficyt emerytalny — koniec 2025</x:v>
      </x:c>
      <x:c r="D55" s="3"/>
      <x:c r="E55" s="3"/>
      <x:c r="F55" s="3" t="n">
        <x:f>-'Assumptions'!F31</x:f>
        <x:v>-152</x:v>
      </x:c>
      <x:c r="G55" s="3"/>
      <x:c r="H55" s="3"/>
      <x:c r="I55" s="3"/>
      <x:c r="J55" s="3"/>
      <x:c r="K55" s="3"/>
      <x:c r="L55" s="3"/>
      <x:c r="M55" s="3"/>
      <x:c r="N55" s="3"/>
      <x:c r="O55" s="3"/>
      <x:c r="P55" s="2"/>
    </x:row>
    <x:row r="56" ht="21" customHeight="1">
      <x:c r="A56" s="2"/>
      <x:c r="B56" s="2"/>
      <x:c r="C56" s="2" t="str">
        <x:v>Notowane udziały po redukcji</x:v>
      </x:c>
      <x:c r="D56" s="3"/>
      <x:c r="E56" s="3"/>
      <x:c r="F56" s="3" t="n">
        <x:f>'Assumptions'!F27</x:f>
        <x:v>1606.5</x:v>
      </x:c>
      <x:c r="G56" s="3"/>
      <x:c r="H56" s="3"/>
      <x:c r="I56" s="3"/>
      <x:c r="J56" s="3"/>
      <x:c r="K56" s="3"/>
      <x:c r="L56" s="3"/>
      <x:c r="M56" s="3"/>
      <x:c r="N56" s="3"/>
      <x:c r="O56" s="3"/>
      <x:c r="P56" s="2"/>
    </x:row>
    <x:row r="57" ht="21" customHeight="1">
      <x:c r="A57" s="2"/>
      <x:c r="B57" s="2"/>
      <x:c r="C57" s="2" t="str">
        <x:v>Wartość mniejszości</x:v>
      </x:c>
      <x:c r="D57" s="3"/>
      <x:c r="E57" s="3"/>
      <x:c r="F57" s="3" t="n">
        <x:f>-'Assumptions'!F28</x:f>
        <x:v>-22</x:v>
      </x:c>
      <x:c r="G57" s="3"/>
      <x:c r="H57" s="3"/>
      <x:c r="I57" s="3"/>
      <x:c r="J57" s="3"/>
      <x:c r="K57" s="3"/>
      <x:c r="L57" s="3"/>
      <x:c r="M57" s="3"/>
      <x:c r="N57" s="3"/>
      <x:c r="O57" s="3"/>
      <x:c r="P57" s="2"/>
    </x:row>
    <x:row r="58" ht="21" customHeight="1">
      <x:c r="A58" s="2"/>
      <x:c r="B58" s="2"/>
      <x:c r="C58" s="2" t="str">
        <x:v>Wartość stowarzyszonych poza modelem</x:v>
      </x:c>
      <x:c r="D58" s="3"/>
      <x:c r="E58" s="3"/>
      <x:c r="F58" s="3" t="n">
        <x:f>'Assumptions'!F29</x:f>
        <x:v>0</x:v>
      </x:c>
      <x:c r="G58" s="3"/>
      <x:c r="H58" s="3"/>
      <x:c r="I58" s="3"/>
      <x:c r="J58" s="3"/>
      <x:c r="K58" s="3"/>
      <x:c r="L58" s="3"/>
      <x:c r="M58" s="3"/>
      <x:c r="N58" s="3"/>
      <x:c r="O58" s="3"/>
      <x:c r="P58" s="2"/>
    </x:row>
    <x:row r="59" ht="21" customHeight="1">
      <x:c r="A59" s="2"/>
      <x:c r="B59" s="2"/>
      <x:c r="C59" s="22" t="str">
        <x:v>Wartość kapitału własnego</x:v>
      </x:c>
      <x:c r="D59" s="40"/>
      <x:c r="E59" s="40"/>
      <x:c r="F59" s="40" t="n">
        <x:f>SUM(F53:F58)</x:f>
        <x:v>27027.785154813442</x:v>
      </x:c>
      <x:c r="G59" s="3"/>
      <x:c r="H59" s="3"/>
      <x:c r="I59" s="3"/>
      <x:c r="J59" s="3"/>
      <x:c r="K59" s="3"/>
      <x:c r="L59" s="3"/>
      <x:c r="M59" s="3"/>
      <x:c r="N59" s="3"/>
      <x:c r="O59" s="3"/>
      <x:c r="P59" s="2"/>
    </x:row>
    <x:row r="60" ht="21" customHeight="1">
      <x:c r="A60" s="2"/>
      <x:c r="B60" s="2"/>
      <x:c r="C60" s="2" t="str">
        <x:v>Rozwodniona liczba akcji (mln)</x:v>
      </x:c>
      <x:c r="D60" s="3"/>
      <x:c r="E60" s="3"/>
      <x:c r="F60" s="61" t="n">
        <x:f>'Assumptions'!F30</x:f>
        <x:v>1846</x:v>
      </x:c>
      <x:c r="G60" s="3"/>
      <x:c r="H60" s="3"/>
      <x:c r="I60" s="3"/>
      <x:c r="J60" s="3"/>
      <x:c r="K60" s="3"/>
      <x:c r="L60" s="3"/>
      <x:c r="M60" s="3"/>
      <x:c r="N60" s="3"/>
      <x:c r="O60" s="3"/>
      <x:c r="P60" s="2"/>
    </x:row>
    <x:row r="61" ht="21" customHeight="1">
      <x:c r="A61" s="2"/>
      <x:c r="B61" s="2"/>
      <x:c r="C61" s="22" t="str">
        <x:v>Wartość na akcję (EUR)</x:v>
      </x:c>
      <x:c r="D61" s="40"/>
      <x:c r="E61" s="40"/>
      <x:c r="F61" s="63" t="n">
        <x:f>F59/F60</x:f>
        <x:v>14.64127039805712</x:v>
      </x:c>
      <x:c r="G61" s="3"/>
      <x:c r="H61" s="3"/>
      <x:c r="I61" s="3"/>
      <x:c r="J61" s="3"/>
      <x:c r="K61" s="3"/>
      <x:c r="L61" s="3"/>
      <x:c r="M61" s="3"/>
      <x:c r="N61" s="3"/>
      <x:c r="O61" s="3"/>
      <x:c r="P61" s="2"/>
    </x:row>
    <x:row r="62" ht="21" customHeight="1">
      <x:c r="A62" s="2"/>
      <x:c r="B62" s="2"/>
      <x:c r="C62" s="2" t="str">
        <x:v>PV terminala / wartość przedsiębiorstwa</x:v>
      </x:c>
      <x:c r="D62" s="3"/>
      <x:c r="E62" s="3"/>
      <x:c r="F62" s="36" t="n">
        <x:f>F52/F53</x:f>
        <x:v>0.6383222882756538</x:v>
      </x:c>
      <x:c r="G62" s="3"/>
      <x:c r="H62" s="3"/>
      <x:c r="I62" s="3"/>
      <x:c r="J62" s="3"/>
      <x:c r="K62" s="3"/>
      <x:c r="L62" s="3"/>
      <x:c r="M62" s="3"/>
      <x:c r="N62" s="3"/>
      <x:c r="O62" s="3"/>
      <x:c r="P62" s="2"/>
    </x:row>
    <x:row r="63" ht="21" customHeight="1">
      <x:c r="A63" s="2"/>
      <x:c r="B63" s="2"/>
      <x:c r="C63" s="2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2"/>
    </x:row>
    <x:row r="64" ht="21" customHeight="1">
      <x:c r="A64" s="2"/>
      <x:c r="B64" s="2"/>
      <x:c r="C64" s="2" t="str">
        <x:v>2026E: FCFF × 56/365 to przybliżenie pozostałej gotówki, bez modelowania sezonowości.</x:v>
      </x:c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2"/>
    </x:row>
    <x:row r="65" ht="21" customHeight="1">
      <x:c r="A65" s="2"/>
      <x:c r="B65" s="2"/>
      <x:c r="C65" s="2" t="str">
        <x:v>Przepływy roczne są dyskontowane na koniec roku. Terminal na 31 grudnia 2036.</x:v>
      </x:c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2"/>
    </x:row>
    <x:row r="66" ht="21" customHeight="1">
      <x:c r="A66" s="2"/>
      <x:c r="B66" s="2"/>
      <x:c r="C66" s="2" t="str">
        <x:v>FCFF 2037 jest przeliczany z przychodów i reinwestycji, nie przez wzrost FCFF 2036.</x:v>
      </x:c>
      <x:c r="D66" s="3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2"/>
    </x:row>
    <x:row r="67" ht="21" customHeight="1">
      <x:c r="A67" s="2"/>
      <x:c r="B67" s="2"/>
      <x:c r="C67" s="2" t="str">
        <x:v>Podatek liczony od EBIT po SBC i czynszach. Leasing nie jest drugi raz odejmowany jako dług.</x:v>
      </x:c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2"/>
    </x:row>
    <x:row r="68" ht="21" customHeight="1">
      <x:c r="A68" s="2"/>
      <x:c r="B68" s="2"/>
      <x:c r="C68" s="2" t="str">
        <x:v>2026E pozostały NWC = 0. Pozycja zaliczek tantiemowych pozostaje oddzielnym wypływem.</x:v>
      </x:c>
      <x:c r="D68" s="3"/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2"/>
    </x:row>
    <x:row r="69" ht="21" customHeight="1">
      <x:c r="A69" s="2"/>
      <x:c r="B69" s="2"/>
      <x:c r="C69" s="2" t="str">
        <x:v>Deficyt emerytalny potrącony jako dług. Bieżące koszty świadczeń pozostają w marży, bez podwójnej spłaty.</x:v>
      </x:c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2"/>
    </x:row>
    <x:row r="70" ht="21" customHeight="1">
      <x:c r="A70" s="2"/>
      <x:c r="B70" s="2"/>
      <x:c r="C70" s="2" t="str">
        <x:v>Nie odjęto 47 mln innych długoterminowych zobowiązań warunkowych ani szerszych rezerw: niepewny skład i ryzyko dublowania.</x:v>
      </x:c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2"/>
    </x:row>
    <x:row r="71" ht="21" customHeight="1">
      <x:c r="A71" s="2"/>
      <x:c r="B71" s="2"/>
      <x:c r="C71" s="2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2"/>
    </x:row>
    <x:row r="72" ht="21" customHeight="1">
      <x:c r="A72" s="2"/>
      <x:c r="B72" s="2"/>
      <x:c r="C72" s="2"/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2"/>
    </x:row>
    <x:row r="73" ht="21" customHeight="1">
      <x:c r="A73" s="2"/>
      <x:c r="B73" s="2"/>
      <x:c r="C73" s="2"/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2"/>
    </x:row>
    <x:row r="74" ht="21" customHeight="1">
      <x:c r="A74" s="2"/>
      <x:c r="B74" s="2"/>
      <x:c r="C74" s="2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2"/>
    </x:row>
    <x:row r="75" ht="21" customHeight="1">
      <x:c r="A75" s="2"/>
      <x:c r="B75" s="2"/>
      <x:c r="C75" s="2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2"/>
    </x:row>
    <x:row r="76" ht="21" customHeight="1">
      <x:c r="A76" s="2"/>
      <x:c r="B76" s="2"/>
      <x:c r="C76" s="2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2"/>
    </x:row>
    <x:row r="77" ht="21" customHeight="1">
      <x:c r="A77" s="2"/>
      <x:c r="B77" s="2"/>
      <x:c r="C77" s="2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2"/>
    </x:row>
    <x:row r="78" ht="21" customHeight="1">
      <x:c r="A78" s="2"/>
      <x:c r="B78" s="2"/>
      <x:c r="C78" s="2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  <x:c r="P78" s="2"/>
    </x:row>
    <x:row r="79" ht="21" customHeight="1">
      <x:c r="A79" s="2"/>
      <x:c r="B79" s="2"/>
      <x:c r="C79" s="2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2"/>
    </x:row>
    <x:row r="80" ht="21" customHeight="1">
      <x:c r="A80" s="2"/>
      <x:c r="B80" s="2"/>
      <x:c r="C80" s="2"/>
      <x:c r="D80" s="3"/>
      <x:c r="E80" s="3"/>
      <x:c r="F80" s="3"/>
      <x:c r="G80" s="3"/>
      <x:c r="H80" s="3"/>
      <x:c r="I80" s="3"/>
      <x:c r="J80" s="3"/>
      <x:c r="K80" s="3"/>
      <x:c r="L80" s="3"/>
      <x:c r="M80" s="3"/>
      <x:c r="N80" s="3"/>
      <x:c r="O80" s="3"/>
      <x:c r="P80" s="2"/>
    </x:row>
    <x:row r="81" ht="21" customHeight="1">
      <x:c r="A81" s="2"/>
      <x:c r="B81" s="2"/>
      <x:c r="C81" s="2"/>
      <x:c r="D81" s="3"/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  <x:c r="P81" s="2"/>
    </x:row>
    <x:row r="82" ht="21" customHeight="1">
      <x:c r="A82" s="2"/>
      <x:c r="B82" s="2"/>
      <x:c r="C82" s="2"/>
      <x:c r="D82" s="3"/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2"/>
    </x:row>
    <x:row r="83" ht="21" customHeight="1">
      <x:c r="A83" s="2"/>
      <x:c r="B83" s="2"/>
      <x:c r="C83" s="2"/>
      <x:c r="D83" s="3"/>
      <x:c r="E83" s="3"/>
      <x:c r="F83" s="3"/>
      <x:c r="G83" s="3"/>
      <x:c r="H83" s="3"/>
      <x:c r="I83" s="3"/>
      <x:c r="J83" s="3"/>
      <x:c r="K83" s="3"/>
      <x:c r="L83" s="3"/>
      <x:c r="M83" s="3"/>
      <x:c r="N83" s="3"/>
      <x:c r="O83" s="3"/>
      <x:c r="P83" s="2"/>
    </x:row>
    <x:row r="84" ht="21" customHeight="1">
      <x:c r="A84" s="2"/>
      <x:c r="B84" s="2"/>
      <x:c r="C84" s="2"/>
      <x:c r="D84" s="3"/>
      <x:c r="E84" s="3"/>
      <x:c r="F84" s="3"/>
      <x:c r="G84" s="3"/>
      <x:c r="H84" s="3"/>
      <x:c r="I84" s="3"/>
      <x:c r="J84" s="3"/>
      <x:c r="K84" s="3"/>
      <x:c r="L84" s="3"/>
      <x:c r="M84" s="3"/>
      <x:c r="N84" s="3"/>
      <x:c r="O84" s="3"/>
      <x:c r="P84" s="2"/>
    </x:row>
    <x:row r="85" ht="21" customHeight="1">
      <x:c r="A85" s="2"/>
      <x:c r="B85" s="2"/>
      <x:c r="C85" s="2"/>
      <x:c r="D85" s="3"/>
      <x:c r="E85" s="3"/>
      <x:c r="F85" s="3"/>
      <x:c r="G85" s="3"/>
      <x:c r="H85" s="3"/>
      <x:c r="I85" s="3"/>
      <x:c r="J85" s="3"/>
      <x:c r="K85" s="3"/>
      <x:c r="L85" s="3"/>
      <x:c r="M85" s="3"/>
      <x:c r="N85" s="3"/>
      <x:c r="O85" s="3"/>
      <x:c r="P85" s="2"/>
    </x:row>
    <x:row r="86" ht="21" customHeight="1">
      <x:c r="A86" s="2"/>
      <x:c r="B86" s="2"/>
      <x:c r="C86" s="2"/>
      <x:c r="D86" s="3"/>
      <x:c r="E86" s="3"/>
      <x:c r="F86" s="3"/>
      <x:c r="G86" s="3"/>
      <x:c r="H86" s="3"/>
      <x:c r="I86" s="3"/>
      <x:c r="J86" s="3"/>
      <x:c r="K86" s="3"/>
      <x:c r="L86" s="3"/>
      <x:c r="M86" s="3"/>
      <x:c r="N86" s="3"/>
      <x:c r="O86" s="3"/>
      <x:c r="P86" s="2"/>
    </x:row>
    <x:row r="87" ht="21" customHeight="1">
      <x:c r="A87" s="2"/>
      <x:c r="B87" s="2"/>
      <x:c r="C87" s="2"/>
      <x:c r="D87" s="3"/>
      <x:c r="E87" s="3"/>
      <x:c r="F87" s="3"/>
      <x:c r="G87" s="3"/>
      <x:c r="H87" s="3"/>
      <x:c r="I87" s="3"/>
      <x:c r="J87" s="3"/>
      <x:c r="K87" s="3"/>
      <x:c r="L87" s="3"/>
      <x:c r="M87" s="3"/>
      <x:c r="N87" s="3"/>
      <x:c r="O87" s="3"/>
      <x:c r="P87" s="2"/>
    </x:row>
    <x:row r="88" ht="21" customHeight="1">
      <x:c r="A88" s="2"/>
      <x:c r="B88" s="2"/>
      <x:c r="C88" s="2"/>
      <x:c r="D88" s="3"/>
      <x:c r="E88" s="3"/>
      <x:c r="F88" s="3"/>
      <x:c r="G88" s="3"/>
      <x:c r="H88" s="3"/>
      <x:c r="I88" s="3"/>
      <x:c r="J88" s="3"/>
      <x:c r="K88" s="3"/>
      <x:c r="L88" s="3"/>
      <x:c r="M88" s="3"/>
      <x:c r="N88" s="3"/>
      <x:c r="O88" s="3"/>
      <x:c r="P88" s="2"/>
    </x:row>
    <x:row r="89" ht="21" customHeight="1">
      <x:c r="A89" s="2"/>
      <x:c r="B89" s="2"/>
      <x:c r="C89" s="2"/>
      <x:c r="D89" s="3"/>
      <x:c r="E89" s="3"/>
      <x:c r="F89" s="3"/>
      <x:c r="G89" s="3"/>
      <x:c r="H89" s="3"/>
      <x:c r="I89" s="3"/>
      <x:c r="J89" s="3"/>
      <x:c r="K89" s="3"/>
      <x:c r="L89" s="3"/>
      <x:c r="M89" s="3"/>
      <x:c r="N89" s="3"/>
      <x:c r="O89" s="3"/>
      <x:c r="P89" s="2"/>
    </x:row>
    <x:row r="90" ht="21" customHeight="1">
      <x:c r="A90" s="2"/>
      <x:c r="B90" s="2"/>
      <x:c r="C90" s="2"/>
      <x:c r="D90" s="3"/>
      <x:c r="E90" s="3"/>
      <x:c r="F90" s="3"/>
      <x:c r="G90" s="3"/>
      <x:c r="H90" s="3"/>
      <x:c r="I90" s="3"/>
      <x:c r="J90" s="3"/>
      <x:c r="K90" s="3"/>
      <x:c r="L90" s="3"/>
      <x:c r="M90" s="3"/>
      <x:c r="N90" s="3"/>
      <x:c r="O90" s="3"/>
      <x:c r="P9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D9C4AC"/>
  </x:sheetPr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.200000047683716" hidden="0" customWidth="1"/>
    <x:col min="2" max="2" width="2.200000047683716" hidden="0" customWidth="1"/>
    <x:col min="3" max="3" width="47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" hidden="0" customWidth="1"/>
    <x:col min="11" max="11" width="25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8" customHeight="1">
      <x:c r="A2" s="2"/>
      <x:c r="B2" s="2"/>
      <x:c r="C2" s="6" t="str">
        <x:v>Universal Music Group — dane źródłowe</x:v>
      </x:c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2"/>
      <x:c r="P2" s="2"/>
    </x:row>
    <x:row r="3" ht="23" customHeight="1">
      <x:c r="A3" s="2"/>
      <x:c r="B3" s="2"/>
      <x:c r="C3" s="5" t="str">
        <x:v>mln EUR; liczba akcji w mln; dane raportowane, bez normalizacji</x:v>
      </x:c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2"/>
      <x:c r="P3" s="2"/>
    </x:row>
    <x:row r="4" ht="23" customHeight="1">
      <x:c r="A4" s="2"/>
      <x:c r="B4" s="2"/>
      <x:c r="C4" s="10" t="str">
        <x:v>Pozycja</x:v>
      </x:c>
      <x:c r="D4" s="16" t="n">
        <x:v>2023</x:v>
      </x:c>
      <x:c r="E4" s="16" t="n">
        <x:v>2024</x:v>
      </x:c>
      <x:c r="F4" s="16" t="n">
        <x:v>2025</x:v>
      </x:c>
      <x:c r="G4" s="17" t="str">
        <x:v>H1 2026</x:v>
      </x:c>
      <x:c r="H4" s="17" t="str">
        <x:v>9M 2026</x:v>
      </x:c>
      <x:c r="I4" s="17" t="str">
        <x:v>Q3 2026</x:v>
      </x:c>
      <x:c r="J4" s="18"/>
      <x:c r="K4" s="17" t="str">
        <x:v>Źródło</x:v>
      </x:c>
      <x:c r="L4" s="3"/>
      <x:c r="M4" s="3"/>
      <x:c r="N4" s="3"/>
      <x:c r="O4" s="3"/>
      <x:c r="P4" s="2"/>
    </x:row>
    <x:row r="5" ht="21" customHeight="1">
      <x:c r="A5" s="2"/>
      <x:c r="B5" s="2"/>
      <x:c r="C5" s="22" t="str">
        <x:v>Przychody</x:v>
      </x:c>
      <x:c r="D5" s="23" t="n">
        <x:v>11108</x:v>
      </x:c>
      <x:c r="E5" s="23" t="n">
        <x:v>11834</x:v>
      </x:c>
      <x:c r="F5" s="23" t="n">
        <x:v>12507</x:v>
      </x:c>
      <x:c r="G5" s="23" t="n">
        <x:v>6194</x:v>
      </x:c>
      <x:c r="H5" s="23" t="n">
        <x:v>9588</x:v>
      </x:c>
      <x:c r="I5" s="23" t="n">
        <x:v>3394</x:v>
      </x:c>
      <x:c r="J5" s="3"/>
      <x:c r="K5" s="19" t="str">
        <x:v>AR25 / HY26 / Q3</x:v>
      </x:c>
      <x:c r="L5" s="3"/>
      <x:c r="M5" s="3"/>
      <x:c r="N5" s="3"/>
      <x:c r="O5" s="3"/>
      <x:c r="P5" s="2"/>
    </x:row>
    <x:row r="6" ht="21" customHeight="1">
      <x:c r="A6" s="2"/>
      <x:c r="B6" s="2"/>
      <x:c r="C6" s="2" t="str">
        <x:v>Recorded Music</x:v>
      </x:c>
      <x:c r="D6" s="13" t="n">
        <x:v>8461</x:v>
      </x:c>
      <x:c r="E6" s="13" t="n">
        <x:v>8901</x:v>
      </x:c>
      <x:c r="F6" s="13" t="n">
        <x:v>9456</x:v>
      </x:c>
      <x:c r="G6" s="13" t="str">
        <x:v>n.a.</x:v>
      </x:c>
      <x:c r="H6" s="13" t="n">
        <x:v>7328</x:v>
      </x:c>
      <x:c r="I6" s="13" t="n">
        <x:v>2559</x:v>
      </x:c>
      <x:c r="J6" s="3"/>
      <x:c r="K6" s="19" t="str">
        <x:v>AR25 / HY26 / Q3</x:v>
      </x:c>
      <x:c r="L6" s="3"/>
      <x:c r="M6" s="3"/>
      <x:c r="N6" s="3"/>
      <x:c r="O6" s="3"/>
      <x:c r="P6" s="2"/>
    </x:row>
    <x:row r="7" ht="21" customHeight="1">
      <x:c r="A7" s="2"/>
      <x:c r="B7" s="2"/>
      <x:c r="C7" s="2" t="str">
        <x:v>Music Publishing</x:v>
      </x:c>
      <x:c r="D7" s="13" t="n">
        <x:v>1956</x:v>
      </x:c>
      <x:c r="E7" s="13" t="n">
        <x:v>2121</x:v>
      </x:c>
      <x:c r="F7" s="13" t="n">
        <x:v>2260</x:v>
      </x:c>
      <x:c r="G7" s="13" t="str">
        <x:v>n.a.</x:v>
      </x:c>
      <x:c r="H7" s="13" t="n">
        <x:v>1758</x:v>
      </x:c>
      <x:c r="I7" s="13" t="n">
        <x:v>590</x:v>
      </x:c>
      <x:c r="J7" s="3"/>
      <x:c r="K7" s="19" t="str">
        <x:v>AR25 / HY26 / Q3</x:v>
      </x:c>
      <x:c r="L7" s="3"/>
      <x:c r="M7" s="3"/>
      <x:c r="N7" s="3"/>
      <x:c r="O7" s="3"/>
      <x:c r="P7" s="2"/>
    </x:row>
    <x:row r="8" ht="21" customHeight="1">
      <x:c r="A8" s="2"/>
      <x:c r="B8" s="2"/>
      <x:c r="C8" s="2" t="str">
        <x:v>Merchandising i pozostałe</x:v>
      </x:c>
      <x:c r="D8" s="13" t="n">
        <x:v>706</x:v>
      </x:c>
      <x:c r="E8" s="13" t="n">
        <x:v>842</x:v>
      </x:c>
      <x:c r="F8" s="13" t="n">
        <x:v>811</x:v>
      </x:c>
      <x:c r="G8" s="13" t="str">
        <x:v>n.a.</x:v>
      </x:c>
      <x:c r="H8" s="13" t="n">
        <x:v>516</x:v>
      </x:c>
      <x:c r="I8" s="13" t="n">
        <x:v>248</x:v>
      </x:c>
      <x:c r="J8" s="3"/>
      <x:c r="K8" s="19" t="str">
        <x:v>AR25 / HY26 / Q3</x:v>
      </x:c>
      <x:c r="L8" s="3"/>
      <x:c r="M8" s="3"/>
      <x:c r="N8" s="3"/>
      <x:c r="O8" s="3"/>
      <x:c r="P8" s="2"/>
    </x:row>
    <x:row r="9" ht="21" customHeight="1">
      <x:c r="A9" s="2"/>
      <x:c r="B9" s="2"/>
      <x:c r="C9" s="2" t="str">
        <x:v>Eliminacje przychodów</x:v>
      </x:c>
      <x:c r="D9" s="13" t="n">
        <x:v>-15</x:v>
      </x:c>
      <x:c r="E9" s="13" t="n">
        <x:v>-30</x:v>
      </x:c>
      <x:c r="F9" s="13" t="n">
        <x:v>-20</x:v>
      </x:c>
      <x:c r="G9" s="13" t="str">
        <x:v>n.a.</x:v>
      </x:c>
      <x:c r="H9" s="13" t="n">
        <x:v>-14</x:v>
      </x:c>
      <x:c r="I9" s="13" t="n">
        <x:v>-3</x:v>
      </x:c>
      <x:c r="J9" s="3"/>
      <x:c r="K9" s="19" t="str">
        <x:v>AR25 / HY26 / Q3</x:v>
      </x:c>
      <x:c r="L9" s="3"/>
      <x:c r="M9" s="3"/>
      <x:c r="N9" s="3"/>
      <x:c r="O9" s="3"/>
      <x:c r="P9" s="2"/>
    </x:row>
    <x:row r="10" ht="21" customHeight="1">
      <x:c r="A10" s="2"/>
      <x:c r="B10" s="2"/>
      <x:c r="C10" s="22" t="str">
        <x:v>Skorygowana EBITDA</x:v>
      </x:c>
      <x:c r="D10" s="23" t="n">
        <x:v>2369</x:v>
      </x:c>
      <x:c r="E10" s="23" t="n">
        <x:v>2661</x:v>
      </x:c>
      <x:c r="F10" s="23" t="n">
        <x:v>2810</x:v>
      </x:c>
      <x:c r="G10" s="23" t="n">
        <x:v>1310</x:v>
      </x:c>
      <x:c r="H10" s="23" t="n">
        <x:v>2039</x:v>
      </x:c>
      <x:c r="I10" s="23" t="n">
        <x:v>729</x:v>
      </x:c>
      <x:c r="J10" s="3"/>
      <x:c r="K10" s="19" t="str">
        <x:v>AR25 / HY26 / Q3</x:v>
      </x:c>
      <x:c r="L10" s="3"/>
      <x:c r="M10" s="3"/>
      <x:c r="N10" s="3"/>
      <x:c r="O10" s="3"/>
      <x:c r="P10" s="2"/>
    </x:row>
    <x:row r="11" ht="21" customHeight="1">
      <x:c r="A11" s="2"/>
      <x:c r="B11" s="2"/>
      <x:c r="C11" s="2" t="str">
        <x:v>Zysk operacyjny IFRS</x:v>
      </x:c>
      <x:c r="D11" s="13" t="n">
        <x:v>1418</x:v>
      </x:c>
      <x:c r="E11" s="13" t="n">
        <x:v>1775</x:v>
      </x:c>
      <x:c r="F11" s="13" t="n">
        <x:v>1998</x:v>
      </x:c>
      <x:c r="G11" s="13" t="n">
        <x:v>901</x:v>
      </x:c>
      <x:c r="H11" s="13" t="str">
        <x:v>n.a.</x:v>
      </x:c>
      <x:c r="I11" s="13" t="str">
        <x:v>n.a.</x:v>
      </x:c>
      <x:c r="J11" s="3"/>
      <x:c r="K11" s="19" t="str">
        <x:v>AR25 / HY26 / Q3</x:v>
      </x:c>
      <x:c r="L11" s="3"/>
      <x:c r="M11" s="3"/>
      <x:c r="N11" s="3"/>
      <x:c r="O11" s="3"/>
      <x:c r="P11" s="2"/>
    </x:row>
    <x:row r="12" ht="21" customHeight="1">
      <x:c r="A12" s="2"/>
      <x:c r="B12" s="2"/>
      <x:c r="C12" s="2" t="str">
        <x:v>Amortyzacja i deprecjacja</x:v>
      </x:c>
      <x:c r="D12" s="13" t="n">
        <x:v>382</x:v>
      </x:c>
      <x:c r="E12" s="13" t="n">
        <x:v>409</x:v>
      </x:c>
      <x:c r="F12" s="13" t="n">
        <x:v>446</x:v>
      </x:c>
      <x:c r="G12" s="13" t="n">
        <x:v>254</x:v>
      </x:c>
      <x:c r="H12" s="13" t="str">
        <x:v>n.a.</x:v>
      </x:c>
      <x:c r="I12" s="13" t="str">
        <x:v>n.a.</x:v>
      </x:c>
      <x:c r="J12" s="3"/>
      <x:c r="K12" s="19" t="str">
        <x:v>AR25 / HY26 / Q3</x:v>
      </x:c>
      <x:c r="L12" s="3"/>
      <x:c r="M12" s="3"/>
      <x:c r="N12" s="3"/>
      <x:c r="O12" s="3"/>
      <x:c r="P12" s="2"/>
    </x:row>
    <x:row r="13" ht="21" customHeight="1">
      <x:c r="A13" s="2"/>
      <x:c r="B13" s="2"/>
      <x:c r="C13" s="2" t="str">
        <x:v>Wynagrodzenie w akcjach (SBC)</x:v>
      </x:c>
      <x:c r="D13" s="13" t="n">
        <x:v>561</x:v>
      </x:c>
      <x:c r="E13" s="13" t="n">
        <x:v>329</x:v>
      </x:c>
      <x:c r="F13" s="13" t="n">
        <x:v>227</x:v>
      </x:c>
      <x:c r="G13" s="13" t="n">
        <x:v>105</x:v>
      </x:c>
      <x:c r="H13" s="13" t="str">
        <x:v>n.a.</x:v>
      </x:c>
      <x:c r="I13" s="13" t="str">
        <x:v>n.a.</x:v>
      </x:c>
      <x:c r="J13" s="3"/>
      <x:c r="K13" s="19" t="str">
        <x:v>AR25 / HY26 / Q3</x:v>
      </x:c>
      <x:c r="L13" s="3"/>
      <x:c r="M13" s="3"/>
      <x:c r="N13" s="3"/>
      <x:c r="O13" s="3"/>
      <x:c r="P13" s="2"/>
    </x:row>
    <x:row r="14" ht="21" customHeight="1">
      <x:c r="A14" s="2"/>
      <x:c r="B14" s="2"/>
      <x:c r="C14" s="2" t="str">
        <x:v>CFO przed podatkiem</x:v>
      </x:c>
      <x:c r="D14" s="13" t="n">
        <x:v>2278</x:v>
      </x:c>
      <x:c r="E14" s="13" t="n">
        <x:v>2104</x:v>
      </x:c>
      <x:c r="F14" s="13" t="n">
        <x:v>2142</x:v>
      </x:c>
      <x:c r="G14" s="13" t="n">
        <x:v>408</x:v>
      </x:c>
      <x:c r="H14" s="13" t="str">
        <x:v>n.a.</x:v>
      </x:c>
      <x:c r="I14" s="13" t="str">
        <x:v>n.a.</x:v>
      </x:c>
      <x:c r="J14" s="3"/>
      <x:c r="K14" s="19" t="str">
        <x:v>AR25 / HY26 / Q3</x:v>
      </x:c>
      <x:c r="L14" s="3"/>
      <x:c r="M14" s="3"/>
      <x:c r="N14" s="3"/>
      <x:c r="O14" s="3"/>
      <x:c r="P14" s="2"/>
    </x:row>
    <x:row r="15" ht="21" customHeight="1">
      <x:c r="A15" s="2"/>
      <x:c r="B15" s="2"/>
      <x:c r="C15" s="2" t="str">
        <x:v>Podatek gotówkowy</x:v>
      </x:c>
      <x:c r="D15" s="13" t="n">
        <x:v>393</x:v>
      </x:c>
      <x:c r="E15" s="13" t="n">
        <x:v>349</x:v>
      </x:c>
      <x:c r="F15" s="13" t="n">
        <x:v>403</x:v>
      </x:c>
      <x:c r="G15" s="13" t="n">
        <x:v>237</x:v>
      </x:c>
      <x:c r="H15" s="13" t="str">
        <x:v>n.a.</x:v>
      </x:c>
      <x:c r="I15" s="13" t="str">
        <x:v>n.a.</x:v>
      </x:c>
      <x:c r="J15" s="3"/>
      <x:c r="K15" s="19" t="str">
        <x:v>AR25 / HY26 / Q3</x:v>
      </x:c>
      <x:c r="L15" s="3"/>
      <x:c r="M15" s="3"/>
      <x:c r="N15" s="3"/>
      <x:c r="O15" s="3"/>
      <x:c r="P15" s="2"/>
    </x:row>
    <x:row r="16" ht="21" customHeight="1">
      <x:c r="A16" s="2"/>
      <x:c r="B16" s="2"/>
      <x:c r="C16" s="22" t="str">
        <x:v>CFO</x:v>
      </x:c>
      <x:c r="D16" s="23" t="n">
        <x:v>1885</x:v>
      </x:c>
      <x:c r="E16" s="23" t="n">
        <x:v>1755</x:v>
      </x:c>
      <x:c r="F16" s="23" t="n">
        <x:v>1739</x:v>
      </x:c>
      <x:c r="G16" s="23" t="n">
        <x:v>171</x:v>
      </x:c>
      <x:c r="H16" s="23" t="str">
        <x:v>n.a.</x:v>
      </x:c>
      <x:c r="I16" s="23" t="str">
        <x:v>n.a.</x:v>
      </x:c>
      <x:c r="J16" s="3"/>
      <x:c r="K16" s="19" t="str">
        <x:v>AR25 / HY26 / Q3</x:v>
      </x:c>
      <x:c r="L16" s="3"/>
      <x:c r="M16" s="3"/>
      <x:c r="N16" s="3"/>
      <x:c r="O16" s="3"/>
      <x:c r="P16" s="2"/>
    </x:row>
    <x:row r="17" ht="21" customHeight="1">
      <x:c r="A17" s="2"/>
      <x:c r="B17" s="2"/>
      <x:c r="C17" s="2" t="str">
        <x:v>Zaliczki tantiemowe netto — wypływ</x:v>
      </x:c>
      <x:c r="D17" s="13" t="n">
        <x:v>100</x:v>
      </x:c>
      <x:c r="E17" s="13" t="n">
        <x:v>186</x:v>
      </x:c>
      <x:c r="F17" s="13" t="n">
        <x:v>402</x:v>
      </x:c>
      <x:c r="G17" s="13" t="n">
        <x:v>292</x:v>
      </x:c>
      <x:c r="H17" s="13" t="str">
        <x:v>n.a.</x:v>
      </x:c>
      <x:c r="I17" s="13" t="str">
        <x:v>n.a.</x:v>
      </x:c>
      <x:c r="J17" s="3"/>
      <x:c r="K17" s="19" t="str">
        <x:v>AR25 / HY26 / Q3</x:v>
      </x:c>
      <x:c r="L17" s="3"/>
      <x:c r="M17" s="3"/>
      <x:c r="N17" s="3"/>
      <x:c r="O17" s="3"/>
      <x:c r="P17" s="2"/>
    </x:row>
    <x:row r="18" ht="21" customHeight="1">
      <x:c r="A18" s="2"/>
      <x:c r="B18" s="2"/>
      <x:c r="C18" s="2" t="str">
        <x:v>Pozostały kapitał obrotowy — wpływ</x:v>
      </x:c>
      <x:c r="D18" s="13" t="n">
        <x:v>164</x:v>
      </x:c>
      <x:c r="E18" s="13" t="n">
        <x:v>-5</x:v>
      </x:c>
      <x:c r="F18" s="13" t="n">
        <x:v>38</x:v>
      </x:c>
      <x:c r="G18" s="13" t="n">
        <x:v>-452</x:v>
      </x:c>
      <x:c r="H18" s="13" t="str">
        <x:v>n.a.</x:v>
      </x:c>
      <x:c r="I18" s="13" t="str">
        <x:v>n.a.</x:v>
      </x:c>
      <x:c r="J18" s="3"/>
      <x:c r="K18" s="19" t="str">
        <x:v>AR25 / HY26 / Q3</x:v>
      </x:c>
      <x:c r="L18" s="3"/>
      <x:c r="M18" s="3"/>
      <x:c r="N18" s="3"/>
      <x:c r="O18" s="3"/>
      <x:c r="P18" s="2"/>
    </x:row>
    <x:row r="19" ht="21" customHeight="1">
      <x:c r="A19" s="2"/>
      <x:c r="B19" s="2"/>
      <x:c r="C19" s="2" t="str">
        <x:v>Rzeczowe nakłady inwestycyjne</x:v>
      </x:c>
      <x:c r="D19" s="13" t="n">
        <x:v>47</x:v>
      </x:c>
      <x:c r="E19" s="13" t="n">
        <x:v>91</x:v>
      </x:c>
      <x:c r="F19" s="13" t="n">
        <x:v>70</x:v>
      </x:c>
      <x:c r="G19" s="13" t="n">
        <x:v>44</x:v>
      </x:c>
      <x:c r="H19" s="13" t="str">
        <x:v>n.a.</x:v>
      </x:c>
      <x:c r="I19" s="13" t="str">
        <x:v>n.a.</x:v>
      </x:c>
      <x:c r="J19" s="3"/>
      <x:c r="K19" s="19" t="str">
        <x:v>AR25 / HY26 / Q3</x:v>
      </x:c>
      <x:c r="L19" s="3"/>
      <x:c r="M19" s="3"/>
      <x:c r="N19" s="3"/>
      <x:c r="O19" s="3"/>
      <x:c r="P19" s="2"/>
    </x:row>
    <x:row r="20" ht="21" customHeight="1">
      <x:c r="A20" s="2"/>
      <x:c r="B20" s="2"/>
      <x:c r="C20" s="2" t="str">
        <x:v>Zwykłe inwestycje niematerialne</x:v>
      </x:c>
      <x:c r="D20" s="13" t="n">
        <x:v>74</x:v>
      </x:c>
      <x:c r="E20" s="13" t="n">
        <x:v>92</x:v>
      </x:c>
      <x:c r="F20" s="13" t="n">
        <x:v>125</x:v>
      </x:c>
      <x:c r="G20" s="13" t="n">
        <x:v>61</x:v>
      </x:c>
      <x:c r="H20" s="13" t="str">
        <x:v>n.a.</x:v>
      </x:c>
      <x:c r="I20" s="13" t="str">
        <x:v>n.a.</x:v>
      </x:c>
      <x:c r="J20" s="3"/>
      <x:c r="K20" s="19" t="str">
        <x:v>AR25 / HY26 / Q3</x:v>
      </x:c>
      <x:c r="L20" s="3"/>
      <x:c r="M20" s="3"/>
      <x:c r="N20" s="3"/>
      <x:c r="O20" s="3"/>
      <x:c r="P20" s="2"/>
    </x:row>
    <x:row r="21" ht="21" customHeight="1">
      <x:c r="A21" s="2"/>
      <x:c r="B21" s="2"/>
      <x:c r="C21" s="2" t="str">
        <x:v>Zakupy katalogów praw</x:v>
      </x:c>
      <x:c r="D21" s="13" t="n">
        <x:v>178</x:v>
      </x:c>
      <x:c r="E21" s="13" t="n">
        <x:v>266</x:v>
      </x:c>
      <x:c r="F21" s="13" t="n">
        <x:v>345</x:v>
      </x:c>
      <x:c r="G21" s="13" t="n">
        <x:v>46</x:v>
      </x:c>
      <x:c r="H21" s="13" t="str">
        <x:v>n.a.</x:v>
      </x:c>
      <x:c r="I21" s="13" t="str">
        <x:v>n.a.</x:v>
      </x:c>
      <x:c r="J21" s="3"/>
      <x:c r="K21" s="19" t="str">
        <x:v>AR25 / HY26 / Q3</x:v>
      </x:c>
      <x:c r="L21" s="3"/>
      <x:c r="M21" s="3"/>
      <x:c r="N21" s="3"/>
      <x:c r="O21" s="3"/>
      <x:c r="P21" s="2"/>
    </x:row>
    <x:row r="22" ht="21" customHeight="1">
      <x:c r="A22" s="2"/>
      <x:c r="B22" s="2"/>
      <x:c r="C22" s="2" t="str">
        <x:v>Leasing — spłata kapitału</x:v>
      </x:c>
      <x:c r="D22" s="13" t="n">
        <x:v>80</x:v>
      </x:c>
      <x:c r="E22" s="13" t="n">
        <x:v>81</x:v>
      </x:c>
      <x:c r="F22" s="13" t="n">
        <x:v>72</x:v>
      </x:c>
      <x:c r="G22" s="13" t="n">
        <x:v>31</x:v>
      </x:c>
      <x:c r="H22" s="13" t="str">
        <x:v>n.a.</x:v>
      </x:c>
      <x:c r="I22" s="13" t="str">
        <x:v>n.a.</x:v>
      </x:c>
      <x:c r="J22" s="3"/>
      <x:c r="K22" s="19" t="str">
        <x:v>AR25 / HY26 / Q3</x:v>
      </x:c>
      <x:c r="L22" s="3"/>
      <x:c r="M22" s="3"/>
      <x:c r="N22" s="3"/>
      <x:c r="O22" s="3"/>
      <x:c r="P22" s="2"/>
    </x:row>
    <x:row r="23" ht="21" customHeight="1">
      <x:c r="A23" s="2"/>
      <x:c r="B23" s="2"/>
      <x:c r="C23" s="2" t="str">
        <x:v>Leasing — odsetki</x:v>
      </x:c>
      <x:c r="D23" s="13" t="n">
        <x:v>14</x:v>
      </x:c>
      <x:c r="E23" s="13" t="n">
        <x:v>21</x:v>
      </x:c>
      <x:c r="F23" s="13" t="n">
        <x:v>21</x:v>
      </x:c>
      <x:c r="G23" s="13" t="n">
        <x:v>22</x:v>
      </x:c>
      <x:c r="H23" s="13" t="str">
        <x:v>n.a.</x:v>
      </x:c>
      <x:c r="I23" s="13" t="str">
        <x:v>n.a.</x:v>
      </x:c>
      <x:c r="J23" s="3"/>
      <x:c r="K23" s="19" t="str">
        <x:v>AR25 / HY26 / Q3</x:v>
      </x:c>
      <x:c r="L23" s="3"/>
      <x:c r="M23" s="3"/>
      <x:c r="N23" s="3"/>
      <x:c r="O23" s="3"/>
      <x:c r="P23" s="2"/>
    </x:row>
    <x:row r="24" ht="21" customHeight="1">
      <x:c r="A24" s="2"/>
      <x:c r="B24" s="2"/>
      <x:c r="C24" s="2" t="str">
        <x:v>FCF według starej definicji</x:v>
      </x:c>
      <x:c r="D24" s="13" t="n">
        <x:v>1082</x:v>
      </x:c>
      <x:c r="E24" s="13" t="n">
        <x:v>523</x:v>
      </x:c>
      <x:c r="F24" s="13" t="n">
        <x:v>702</x:v>
      </x:c>
      <x:c r="G24" s="13" t="str">
        <x:v>n.a.</x:v>
      </x:c>
      <x:c r="H24" s="13" t="str">
        <x:v>n.a.</x:v>
      </x:c>
      <x:c r="I24" s="13" t="str">
        <x:v>n.a.</x:v>
      </x:c>
      <x:c r="J24" s="3"/>
      <x:c r="K24" s="19" t="str">
        <x:v>AR25 / HY26 / Q3</x:v>
      </x:c>
      <x:c r="L24" s="3"/>
      <x:c r="M24" s="3"/>
      <x:c r="N24" s="3"/>
      <x:c r="O24" s="3"/>
      <x:c r="P24" s="2"/>
    </x:row>
    <x:row r="25" ht="21" customHeight="1">
      <x:c r="A25" s="2"/>
      <x:c r="B25" s="2"/>
      <x:c r="C25" s="2" t="str">
        <x:v>FCF według nowej definicji</x:v>
      </x:c>
      <x:c r="D25" s="13" t="str">
        <x:v>n.a.</x:v>
      </x:c>
      <x:c r="E25" s="13" t="str">
        <x:v>n.a.</x:v>
      </x:c>
      <x:c r="F25" s="13" t="str">
        <x:v>n.a.</x:v>
      </x:c>
      <x:c r="G25" s="13" t="n">
        <x:v>24</x:v>
      </x:c>
      <x:c r="H25" s="13" t="str">
        <x:v>n.a.</x:v>
      </x:c>
      <x:c r="I25" s="13" t="str">
        <x:v>n.a.</x:v>
      </x:c>
      <x:c r="J25" s="3"/>
      <x:c r="K25" s="19" t="str">
        <x:v>AR25 / HY26 / Q3</x:v>
      </x:c>
      <x:c r="L25" s="3"/>
      <x:c r="M25" s="3"/>
      <x:c r="N25" s="3"/>
      <x:c r="O25" s="3"/>
      <x:c r="P25" s="2"/>
    </x:row>
    <x:row r="26" ht="21" customHeight="1">
      <x:c r="A26" s="2"/>
      <x:c r="B26" s="2"/>
      <x:c r="C26" s="22" t="str">
        <x:v>Finansowy dług netto bez leasingu</x:v>
      </x:c>
      <x:c r="D26" s="23" t="str">
        <x:v>n.a.</x:v>
      </x:c>
      <x:c r="E26" s="23" t="str">
        <x:v>n.a.</x:v>
      </x:c>
      <x:c r="F26" s="23" t="n">
        <x:v>2390</x:v>
      </x:c>
      <x:c r="G26" s="23" t="n">
        <x:v>4131</x:v>
      </x:c>
      <x:c r="H26" s="23" t="str">
        <x:v>n.a.</x:v>
      </x:c>
      <x:c r="I26" s="23" t="str">
        <x:v>n.a.</x:v>
      </x:c>
      <x:c r="J26" s="3"/>
      <x:c r="K26" s="19" t="str">
        <x:v>AR25 / HY26 / Q3</x:v>
      </x:c>
      <x:c r="L26" s="3"/>
      <x:c r="M26" s="3"/>
      <x:c r="N26" s="3"/>
      <x:c r="O26" s="3"/>
      <x:c r="P26" s="2"/>
    </x:row>
    <x:row r="27" ht="21" customHeight="1">
      <x:c r="A27" s="2"/>
      <x:c r="B27" s="2"/>
      <x:c r="C27" s="2" t="str">
        <x:v>Notowane udziały — wartość brutto</x:v>
      </x:c>
      <x:c r="D27" s="13" t="str">
        <x:v>n.a.</x:v>
      </x:c>
      <x:c r="E27" s="13" t="str">
        <x:v>n.a.</x:v>
      </x:c>
      <x:c r="F27" s="13" t="n">
        <x:v>3404</x:v>
      </x:c>
      <x:c r="G27" s="13" t="n">
        <x:v>2295</x:v>
      </x:c>
      <x:c r="H27" s="13" t="str">
        <x:v>n.a.</x:v>
      </x:c>
      <x:c r="I27" s="13" t="str">
        <x:v>n.a.</x:v>
      </x:c>
      <x:c r="J27" s="3"/>
      <x:c r="K27" s="19" t="str">
        <x:v>AR25 / HY26 / Q3</x:v>
      </x:c>
      <x:c r="L27" s="3"/>
      <x:c r="M27" s="3"/>
      <x:c r="N27" s="3"/>
      <x:c r="O27" s="3"/>
      <x:c r="P27" s="2"/>
    </x:row>
    <x:row r="28" ht="21" customHeight="1">
      <x:c r="A28" s="2"/>
      <x:c r="B28" s="2"/>
      <x:c r="C28" s="2" t="str">
        <x:v>Zobowiązania leasingowe</x:v>
      </x:c>
      <x:c r="D28" s="13" t="str">
        <x:v>n.a.</x:v>
      </x:c>
      <x:c r="E28" s="13" t="str">
        <x:v>n.a.</x:v>
      </x:c>
      <x:c r="F28" s="13" t="str">
        <x:v>n.a.</x:v>
      </x:c>
      <x:c r="G28" s="13" t="n">
        <x:v>938</x:v>
      </x:c>
      <x:c r="H28" s="13" t="str">
        <x:v>n.a.</x:v>
      </x:c>
      <x:c r="I28" s="13" t="str">
        <x:v>n.a.</x:v>
      </x:c>
      <x:c r="J28" s="3"/>
      <x:c r="K28" s="19" t="str">
        <x:v>AR25 / HY26 / Q3</x:v>
      </x:c>
      <x:c r="L28" s="3"/>
      <x:c r="M28" s="3"/>
      <x:c r="N28" s="3"/>
      <x:c r="O28" s="3"/>
      <x:c r="P28" s="2"/>
    </x:row>
    <x:row r="29" ht="21" customHeight="1">
      <x:c r="A29" s="2"/>
      <x:c r="B29" s="2"/>
      <x:c r="C29" s="2" t="str">
        <x:v>Kapitał udziałowców mniejszościowych</x:v>
      </x:c>
      <x:c r="D29" s="13" t="str">
        <x:v>n.a.</x:v>
      </x:c>
      <x:c r="E29" s="13" t="str">
        <x:v>n.a.</x:v>
      </x:c>
      <x:c r="F29" s="13" t="str">
        <x:v>n.a.</x:v>
      </x:c>
      <x:c r="G29" s="13" t="n">
        <x:v>22</x:v>
      </x:c>
      <x:c r="H29" s="13" t="str">
        <x:v>n.a.</x:v>
      </x:c>
      <x:c r="I29" s="13" t="str">
        <x:v>n.a.</x:v>
      </x:c>
      <x:c r="J29" s="3"/>
      <x:c r="K29" s="19" t="str">
        <x:v>AR25 / HY26 / Q3</x:v>
      </x:c>
      <x:c r="L29" s="3"/>
      <x:c r="M29" s="3"/>
      <x:c r="N29" s="3"/>
      <x:c r="O29" s="3"/>
      <x:c r="P29" s="2"/>
    </x:row>
    <x:row r="30" ht="21" customHeight="1">
      <x:c r="A30" s="2"/>
      <x:c r="B30" s="2"/>
      <x:c r="C30" s="2" t="str">
        <x:v>Aktywa jednostek stowarzyszonych</x:v>
      </x:c>
      <x:c r="D30" s="13" t="str">
        <x:v>n.a.</x:v>
      </x:c>
      <x:c r="E30" s="13" t="str">
        <x:v>n.a.</x:v>
      </x:c>
      <x:c r="F30" s="13" t="str">
        <x:v>n.a.</x:v>
      </x:c>
      <x:c r="G30" s="13" t="n">
        <x:v>787</x:v>
      </x:c>
      <x:c r="H30" s="13" t="str">
        <x:v>n.a.</x:v>
      </x:c>
      <x:c r="I30" s="13" t="str">
        <x:v>n.a.</x:v>
      </x:c>
      <x:c r="J30" s="3"/>
      <x:c r="K30" s="19" t="str">
        <x:v>AR25 / HY26 / Q3</x:v>
      </x:c>
      <x:c r="L30" s="3"/>
      <x:c r="M30" s="3"/>
      <x:c r="N30" s="3"/>
      <x:c r="O30" s="3"/>
      <x:c r="P30" s="2"/>
    </x:row>
    <x:row r="31" ht="21" customHeight="1">
      <x:c r="A31" s="2"/>
      <x:c r="B31" s="2"/>
      <x:c r="C31" s="22" t="str">
        <x:v>Średnia rozwodniona liczba akcji</x:v>
      </x:c>
      <x:c r="D31" s="24" t="str">
        <x:v>n.a.</x:v>
      </x:c>
      <x:c r="E31" s="24" t="str">
        <x:v>n.a.</x:v>
      </x:c>
      <x:c r="F31" s="24" t="n">
        <x:v>1853</x:v>
      </x:c>
      <x:c r="G31" s="24" t="n">
        <x:v>1846</x:v>
      </x:c>
      <x:c r="H31" s="24" t="str">
        <x:v>n.a.</x:v>
      </x:c>
      <x:c r="I31" s="24" t="str">
        <x:v>n.a.</x:v>
      </x:c>
      <x:c r="J31" s="3"/>
      <x:c r="K31" s="19" t="str">
        <x:v>AR25 / HY26 / Q3</x:v>
      </x:c>
      <x:c r="L31" s="3"/>
      <x:c r="M31" s="3"/>
      <x:c r="N31" s="3"/>
      <x:c r="O31" s="3"/>
      <x:c r="P31" s="2"/>
    </x:row>
    <x:row r="32" ht="21" customHeight="1">
      <x:c r="A32" s="2"/>
      <x:c r="B32" s="2"/>
      <x:c r="C32" s="2" t="str">
        <x:v>Średnia podstawowa liczba akcji</x:v>
      </x:c>
      <x:c r="D32" s="25" t="str">
        <x:v>n.a.</x:v>
      </x:c>
      <x:c r="E32" s="25" t="str">
        <x:v>n.a.</x:v>
      </x:c>
      <x:c r="F32" s="25" t="str">
        <x:v>n.a.</x:v>
      </x:c>
      <x:c r="G32" s="25" t="n">
        <x:v>1831</x:v>
      </x:c>
      <x:c r="H32" s="25" t="str">
        <x:v>n.a.</x:v>
      </x:c>
      <x:c r="I32" s="25" t="str">
        <x:v>n.a.</x:v>
      </x:c>
      <x:c r="J32" s="3"/>
      <x:c r="K32" s="19" t="str">
        <x:v>AR25 / HY26 / Q3</x:v>
      </x:c>
      <x:c r="L32" s="3"/>
      <x:c r="M32" s="3"/>
      <x:c r="N32" s="3"/>
      <x:c r="O32" s="3"/>
      <x:c r="P32" s="2"/>
    </x:row>
    <x:row r="33" ht="21" customHeight="1">
      <x:c r="A33" s="2"/>
      <x:c r="B33" s="2"/>
      <x:c r="C33" s="2" t="str">
        <x:v>Liczba akcji wyemitowanych</x:v>
      </x:c>
      <x:c r="D33" s="25" t="str">
        <x:v>n.a.</x:v>
      </x:c>
      <x:c r="E33" s="25" t="str">
        <x:v>n.a.</x:v>
      </x:c>
      <x:c r="F33" s="25" t="str">
        <x:v>n.a.</x:v>
      </x:c>
      <x:c r="G33" s="25" t="n">
        <x:v>1838.527</x:v>
      </x:c>
      <x:c r="H33" s="25" t="str">
        <x:v>n.a.</x:v>
      </x:c>
      <x:c r="I33" s="25" t="str">
        <x:v>n.a.</x:v>
      </x:c>
      <x:c r="J33" s="3"/>
      <x:c r="K33" s="19" t="str">
        <x:v>AR25 / HY26 / Q3</x:v>
      </x:c>
      <x:c r="L33" s="3"/>
      <x:c r="M33" s="3"/>
      <x:c r="N33" s="3"/>
      <x:c r="O33" s="3"/>
      <x:c r="P33" s="2"/>
    </x:row>
    <x:row r="34" ht="21" customHeight="1">
      <x:c r="A34" s="2"/>
      <x:c r="B34" s="2"/>
      <x:c r="C34" s="2" t="str">
        <x:v>Recorded Music — subskrypcje</x:v>
      </x:c>
      <x:c r="D34" s="13" t="str">
        <x:v>n.a.</x:v>
      </x:c>
      <x:c r="E34" s="13" t="str">
        <x:v>n.a.</x:v>
      </x:c>
      <x:c r="F34" s="13" t="n">
        <x:v>4884</x:v>
      </x:c>
      <x:c r="G34" s="13" t="str">
        <x:v>n.a.</x:v>
      </x:c>
      <x:c r="H34" s="13" t="str">
        <x:v>n.a.</x:v>
      </x:c>
      <x:c r="I34" s="13" t="str">
        <x:v>n.a.</x:v>
      </x:c>
      <x:c r="J34" s="3"/>
      <x:c r="K34" s="19" t="str">
        <x:v>AR25 / HY26 / Q3</x:v>
      </x:c>
      <x:c r="L34" s="3"/>
      <x:c r="M34" s="3"/>
      <x:c r="N34" s="3"/>
      <x:c r="O34" s="3"/>
      <x:c r="P34" s="2"/>
    </x:row>
    <x:row r="35" ht="21" customHeight="1">
      <x:c r="A35" s="2"/>
      <x:c r="B35" s="2"/>
      <x:c r="C35" s="2" t="str">
        <x:v>Recorded Music — streaming z reklam</x:v>
      </x:c>
      <x:c r="D35" s="13" t="str">
        <x:v>n.a.</x:v>
      </x:c>
      <x:c r="E35" s="13" t="str">
        <x:v>n.a.</x:v>
      </x:c>
      <x:c r="F35" s="13" t="n">
        <x:v>1435</x:v>
      </x:c>
      <x:c r="G35" s="13" t="str">
        <x:v>n.a.</x:v>
      </x:c>
      <x:c r="H35" s="13" t="str">
        <x:v>n.a.</x:v>
      </x:c>
      <x:c r="I35" s="13" t="str">
        <x:v>n.a.</x:v>
      </x:c>
      <x:c r="J35" s="3"/>
      <x:c r="K35" s="19" t="str">
        <x:v>AR25 / HY26 / Q3</x:v>
      </x:c>
      <x:c r="L35" s="3"/>
      <x:c r="M35" s="3"/>
      <x:c r="N35" s="3"/>
      <x:c r="O35" s="3"/>
      <x:c r="P35" s="2"/>
    </x:row>
    <x:row r="36" ht="21" customHeight="1">
      <x:c r="A36" s="2"/>
      <x:c r="B36" s="2"/>
      <x:c r="C36" s="2" t="str">
        <x:v>Recorded Music — nośniki fizyczne</x:v>
      </x:c>
      <x:c r="D36" s="13" t="str">
        <x:v>n.a.</x:v>
      </x:c>
      <x:c r="E36" s="13" t="str">
        <x:v>n.a.</x:v>
      </x:c>
      <x:c r="F36" s="13" t="n">
        <x:v>1475</x:v>
      </x:c>
      <x:c r="G36" s="13" t="str">
        <x:v>n.a.</x:v>
      </x:c>
      <x:c r="H36" s="13" t="str">
        <x:v>n.a.</x:v>
      </x:c>
      <x:c r="I36" s="13" t="str">
        <x:v>n.a.</x:v>
      </x:c>
      <x:c r="J36" s="3"/>
      <x:c r="K36" s="19" t="str">
        <x:v>AR25 / HY26 / Q3</x:v>
      </x:c>
      <x:c r="L36" s="3"/>
      <x:c r="M36" s="3"/>
      <x:c r="N36" s="3"/>
      <x:c r="O36" s="3"/>
      <x:c r="P36" s="2"/>
    </x:row>
    <x:row r="37" ht="21" customHeight="1">
      <x:c r="A37" s="2"/>
      <x:c r="B37" s="2"/>
      <x:c r="C37" s="2" t="str">
        <x:v>Recorded Music — licencje i inne</x:v>
      </x:c>
      <x:c r="D37" s="13" t="str">
        <x:v>n.a.</x:v>
      </x:c>
      <x:c r="E37" s="13" t="str">
        <x:v>n.a.</x:v>
      </x:c>
      <x:c r="F37" s="13" t="n">
        <x:v>1428</x:v>
      </x:c>
      <x:c r="G37" s="13" t="str">
        <x:v>n.a.</x:v>
      </x:c>
      <x:c r="H37" s="13" t="str">
        <x:v>n.a.</x:v>
      </x:c>
      <x:c r="I37" s="13" t="str">
        <x:v>n.a.</x:v>
      </x:c>
      <x:c r="J37" s="3"/>
      <x:c r="K37" s="19" t="str">
        <x:v>AR25 / HY26 / Q3</x:v>
      </x:c>
      <x:c r="L37" s="3"/>
      <x:c r="M37" s="3"/>
      <x:c r="N37" s="3"/>
      <x:c r="O37" s="3"/>
      <x:c r="P37" s="2"/>
    </x:row>
    <x:row r="38" ht="21" customHeight="1">
      <x:c r="A38" s="2"/>
      <x:c r="B38" s="2"/>
      <x:c r="C38" s="2" t="str">
        <x:v>Recorded Music — pobrania i inne cyfrowe</x:v>
      </x:c>
      <x:c r="D38" s="13" t="str">
        <x:v>n.a.</x:v>
      </x:c>
      <x:c r="E38" s="13" t="str">
        <x:v>n.a.</x:v>
      </x:c>
      <x:c r="F38" s="13" t="n">
        <x:v>234</x:v>
      </x:c>
      <x:c r="G38" s="13" t="str">
        <x:v>n.a.</x:v>
      </x:c>
      <x:c r="H38" s="13" t="str">
        <x:v>n.a.</x:v>
      </x:c>
      <x:c r="I38" s="13" t="str">
        <x:v>n.a.</x:v>
      </x:c>
      <x:c r="J38" s="3"/>
      <x:c r="K38" s="19" t="str">
        <x:v>AR25 / HY26 / Q3</x:v>
      </x:c>
      <x:c r="L38" s="3"/>
      <x:c r="M38" s="3"/>
      <x:c r="N38" s="3"/>
      <x:c r="O38" s="3"/>
      <x:c r="P38" s="2"/>
    </x:row>
    <x:row r="39" ht="21" customHeight="1">
      <x:c r="A39" s="2"/>
      <x:c r="B39" s="2"/>
      <x:c r="C39" s="2" t="str">
        <x:v>Deficyt emerytalny i świadczeń po zatrudnieniu</x:v>
      </x:c>
      <x:c r="D39" s="14"/>
      <x:c r="E39" s="14"/>
      <x:c r="F39" s="13" t="n">
        <x:v>152</x:v>
      </x:c>
      <x:c r="G39" s="14"/>
      <x:c r="H39" s="14"/>
      <x:c r="I39" s="14"/>
      <x:c r="J39" s="3"/>
      <x:c r="K39" s="3" t="str">
        <x:v>AR25, nota 23, s. 237</x:v>
      </x:c>
      <x:c r="L39" s="3"/>
      <x:c r="M39" s="3"/>
      <x:c r="N39" s="3"/>
      <x:c r="O39" s="3"/>
      <x:c r="P39" s="2"/>
    </x:row>
    <x:row r="40" ht="21" customHeight="1">
      <x:c r="A40" s="2"/>
      <x:c r="B40" s="2"/>
      <x:c r="C40" s="2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2"/>
    </x:row>
    <x:row r="41" ht="23" customHeight="1">
      <x:c r="A41" s="2"/>
      <x:c r="B41" s="2"/>
      <x:c r="C41" s="10" t="str">
        <x:v>Rynek odniesienia</x:v>
      </x:c>
      <x:c r="D41" s="11"/>
      <x:c r="E41" s="11"/>
      <x:c r="F41" s="11"/>
      <x:c r="G41" s="11"/>
      <x:c r="H41" s="11"/>
      <x:c r="I41" s="11"/>
      <x:c r="J41" s="11"/>
      <x:c r="K41" s="11"/>
      <x:c r="L41" s="3"/>
      <x:c r="M41" s="3"/>
      <x:c r="N41" s="3"/>
      <x:c r="O41" s="3"/>
      <x:c r="P41" s="2"/>
    </x:row>
    <x:row r="42" ht="21" customHeight="1">
      <x:c r="A42" s="2"/>
      <x:c r="B42" s="2"/>
      <x:c r="C42" s="2" t="str">
        <x:v>Kurs UMG na zamknięciu (EUR)</x:v>
      </x:c>
      <x:c r="D42" s="26" t="n">
        <x:v>17.58</x:v>
      </x:c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2"/>
    </x:row>
    <x:row r="43" ht="21" customHeight="1">
      <x:c r="A43" s="2"/>
      <x:c r="B43" s="2"/>
      <x:c r="C43" s="2" t="str">
        <x:v>Data kursu</x:v>
      </x:c>
      <x:c r="D43" s="27" t="d">
        <x:v>2026-11-04T00:00:00.000Z</x:v>
      </x:c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2"/>
    </x:row>
    <x:row r="44" ht="21" customHeight="1">
      <x:c r="A44" s="2"/>
      <x:c r="B44" s="2"/>
      <x:c r="C44" s="2" t="str">
        <x:v>Ticker / rynek / ISIN</x:v>
      </x:c>
      <x:c r="D44" s="3" t="str">
        <x:v>UMG / Amsterdam / NL0015000IY2</x:v>
      </x:c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2"/>
    </x:row>
    <x:row r="45" ht="21" customHeight="1">
      <x:c r="A45" s="2"/>
      <x:c r="B45" s="2"/>
      <x:c r="C45" s="2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2"/>
    </x:row>
    <x:row r="46" ht="23" customHeight="1">
      <x:c r="A46" s="2"/>
      <x:c r="B46" s="2"/>
      <x:c r="C46" s="10" t="str">
        <x:v>Źródła i zakres</x:v>
      </x:c>
      <x:c r="D46" s="11"/>
      <x:c r="E46" s="11"/>
      <x:c r="F46" s="11"/>
      <x:c r="G46" s="11"/>
      <x:c r="H46" s="11"/>
      <x:c r="I46" s="11"/>
      <x:c r="J46" s="11"/>
      <x:c r="K46" s="11"/>
      <x:c r="L46" s="3"/>
      <x:c r="M46" s="3"/>
      <x:c r="N46" s="3"/>
      <x:c r="O46" s="3"/>
      <x:c r="P46" s="2"/>
    </x:row>
    <x:row r="47" ht="21" customHeight="1">
      <x:c r="A47" s="2"/>
      <x:c r="B47" s="2"/>
      <x:c r="C47" s="2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2"/>
    </x:row>
    <x:row r="48" ht="21" customHeight="1">
      <x:c r="A48" s="2"/>
      <x:c r="B48" s="2"/>
      <x:c r="C48" s="2" t="str">
        <x:v>AR25</x:v>
      </x:c>
      <x:c r="D48" s="3" t="str">
        <x:v>Raport roczny UMG 2025, s. 51–58, 193, 210–211, 225, 292. Emerytury: nota 23, s. 237.</x:v>
      </x:c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2"/>
    </x:row>
    <x:row r="49" ht="21" customHeight="1">
      <x:c r="A49" s="2"/>
      <x:c r="B49" s="2"/>
      <x:c r="C49" s="28" t="str">
        <x:v>https://assets.ctfassets.net/e66ejtqbaazg/7HObJrt5UDQfjjfKYN454B/201bf057190c5ed4ee185b04a34ec095/UMG_2025_Annual_Report.pdf</x:v>
      </x:c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2"/>
    </x:row>
    <x:row r="50" ht="21" customHeight="1">
      <x:c r="A50" s="2"/>
      <x:c r="B50" s="2"/>
      <x:c r="C50" s="2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2"/>
    </x:row>
    <x:row r="51" ht="21" customHeight="1">
      <x:c r="A51" s="2"/>
      <x:c r="B51" s="2"/>
      <x:c r="C51" s="2" t="str">
        <x:v>HY26</x:v>
      </x:c>
      <x:c r="D51" s="3" t="str">
        <x:v>Raport H1 2026, s. 5–6, 12–14, 19–20, 29, 32–34.</x:v>
      </x:c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2"/>
    </x:row>
    <x:row r="52" ht="21" customHeight="1">
      <x:c r="A52" s="2"/>
      <x:c r="B52" s="2"/>
      <x:c r="C52" s="28" t="str">
        <x:v>https://assets.ctfassets.net/e66ejtqbaazg/28XlANhOkocrrvfg9RwMd2/6bc5080380a37c8f3d0d9843ee5a084a/UMG_Half_Year_Results_2026.pdf</x:v>
      </x:c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2"/>
    </x:row>
    <x:row r="53" ht="21" customHeight="1">
      <x:c r="A53" s="2"/>
      <x:c r="B53" s="2"/>
      <x:c r="C53" s="2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2"/>
    </x:row>
    <x:row r="54" ht="21" customHeight="1">
      <x:c r="A54" s="2"/>
      <x:c r="B54" s="2"/>
      <x:c r="C54" s="2" t="str">
        <x:v>Q3</x:v>
      </x:c>
      <x:c r="D54" s="3" t="str">
        <x:v>Komunikat Q3/9M, 29 października 2026.</x:v>
      </x:c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2"/>
    </x:row>
    <x:row r="55" ht="21" customHeight="1">
      <x:c r="A55" s="2"/>
      <x:c r="B55" s="2"/>
      <x:c r="C55" s="28" t="str">
        <x:v>https://assets.ctfassets.net/e66ejtqbaazg/23rJKLYu1RVBOvsuB8VGHM/12c61bc52984e5d569bab268b70a8679/UMG_Q3_2026_Press_Release.pdf</x:v>
      </x:c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2"/>
    </x:row>
    <x:row r="56" ht="21" customHeight="1">
      <x:c r="A56" s="2"/>
      <x:c r="B56" s="2"/>
      <x:c r="C56" s="2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2"/>
    </x:row>
    <x:row r="57" ht="21" customHeight="1">
      <x:c r="A57" s="2"/>
      <x:c r="B57" s="2"/>
      <x:c r="C57" s="2" t="str">
        <x:v>Kurs</x:v>
      </x:c>
      <x:c r="D57" s="3" t="str">
        <x:v>StockAnalysis / S&amp;P Global, zamknięcie 4 listopada 2026.</x:v>
      </x:c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2"/>
    </x:row>
    <x:row r="58" ht="21" customHeight="1">
      <x:c r="A58" s="2"/>
      <x:c r="B58" s="2"/>
      <x:c r="C58" s="28" t="str">
        <x:v>https://stockanalysis.com/quote/ams/UMG/history/</x:v>
      </x:c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2"/>
    </x:row>
    <x:row r="59" ht="21" customHeight="1">
      <x:c r="A59" s="2"/>
      <x:c r="B59" s="2"/>
      <x:c r="C59" s="2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2"/>
    </x:row>
    <x:row r="60" ht="21" customHeight="1">
      <x:c r="A60" s="2"/>
      <x:c r="B60" s="2"/>
      <x:c r="C60" s="2" t="str">
        <x:v>BB1</x:v>
      </x:c>
      <x:c r="D60" s="3" t="str">
        <x:v>UMG: zakończenie wykupu 500 mln EUR, 27 lipca 2026.</x:v>
      </x:c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2"/>
    </x:row>
    <x:row r="61" ht="21" customHeight="1">
      <x:c r="A61" s="2"/>
      <x:c r="B61" s="2"/>
      <x:c r="C61" s="28" t="str">
        <x:v>https://www.prnewswire.com/news-releases/universal-music-group-nv-reports-weekly-transactions-under-and-completion-of-its-500-million-share-buyback-program-302835382.html</x:v>
      </x:c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2"/>
    </x:row>
    <x:row r="62" ht="21" customHeight="1">
      <x:c r="A62" s="2"/>
      <x:c r="B62" s="2"/>
      <x:c r="C62" s="2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2"/>
    </x:row>
    <x:row r="63" ht="21" customHeight="1">
      <x:c r="A63" s="2"/>
      <x:c r="B63" s="2"/>
      <x:c r="C63" s="2" t="str">
        <x:v>BB2</x:v>
      </x:c>
      <x:c r="D63" s="3" t="str">
        <x:v>UMG: zakończenie wykupu 250 mln EUR, 7 września 2026.</x:v>
      </x:c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2"/>
    </x:row>
    <x:row r="64" ht="21" customHeight="1">
      <x:c r="A64" s="2"/>
      <x:c r="B64" s="2"/>
      <x:c r="C64" s="28" t="str">
        <x:v>https://www.prnewswire.com/news-releases/universal-music-group-nv-reports-weekly-transactions-under-and-completion-of-its-250-million-share-buyback-program-302871454.html</x:v>
      </x:c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2"/>
    </x:row>
    <x:row r="65" ht="21" customHeight="1">
      <x:c r="A65" s="2"/>
      <x:c r="B65" s="2"/>
      <x:c r="C65" s="2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2"/>
    </x:row>
    <x:row r="66" ht="21" customHeight="1">
      <x:c r="A66" s="2"/>
      <x:c r="B66" s="2"/>
      <x:c r="C66" s="2"/>
      <x:c r="D66" s="3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2"/>
    </x:row>
    <x:row r="67" ht="21" customHeight="1">
      <x:c r="A67" s="2"/>
      <x:c r="B67" s="2"/>
      <x:c r="C67" s="2"/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2"/>
    </x:row>
    <x:row r="68" ht="21" customHeight="1">
      <x:c r="A68" s="2"/>
      <x:c r="B68" s="2"/>
      <x:c r="C68" s="2" t="str">
        <x:v>n.a. oznacza brak ujawnionej porównywalnej wartości w wykorzystanym zestawieniu.</x:v>
      </x:c>
      <x:c r="D68" s="3"/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2"/>
    </x:row>
    <x:row r="69" ht="21" customHeight="1">
      <x:c r="A69" s="2"/>
      <x:c r="B69" s="2"/>
      <x:c r="C69" s="2" t="str">
        <x:v>Definicja FCF zmieniła się w Q2 2026. H1 2026 nie jest porównywalne ze starym rocznym FCF.</x:v>
      </x:c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2"/>
    </x:row>
    <x:row r="70" ht="21" customHeight="1">
      <x:c r="A70" s="2"/>
      <x:c r="B70" s="2"/>
      <x:c r="C70" s="2" t="str">
        <x:v>Dług, wartość udziałów i liczba akcji z H1 mają datę 30 czerwca 2026.</x:v>
      </x:c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2"/>
    </x:row>
    <x:row r="71" ht="21" customHeight="1">
      <x:c r="A71" s="2"/>
      <x:c r="B71" s="2"/>
      <x:c r="C71" s="2" t="str">
        <x:v>Wynik netto IFRS zawiera zmiany wyceny inwestycji. Model nie traktuje ich jako FCFF.</x:v>
      </x:c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2"/>
    </x:row>
    <x:row r="72" ht="21" customHeight="1">
      <x:c r="A72" s="2"/>
      <x:c r="B72" s="2"/>
      <x:c r="C72" s="2"/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2"/>
    </x:row>
    <x:row r="73" ht="21" customHeight="1">
      <x:c r="A73" s="2"/>
      <x:c r="B73" s="2"/>
      <x:c r="C73" s="2"/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2"/>
    </x:row>
    <x:row r="74" ht="21" customHeight="1">
      <x:c r="A74" s="2"/>
      <x:c r="B74" s="2"/>
      <x:c r="C74" s="2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2"/>
    </x:row>
    <x:row r="75" ht="21" customHeight="1">
      <x:c r="A75" s="2"/>
      <x:c r="B75" s="2"/>
      <x:c r="C75" s="2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2"/>
    </x:row>
    <x:row r="76" ht="21" customHeight="1">
      <x:c r="A76" s="2"/>
      <x:c r="B76" s="2"/>
      <x:c r="C76" s="2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2"/>
    </x:row>
    <x:row r="77" ht="21" customHeight="1">
      <x:c r="A77" s="2"/>
      <x:c r="B77" s="2"/>
      <x:c r="C77" s="2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2"/>
    </x:row>
    <x:row r="78" ht="21" customHeight="1">
      <x:c r="A78" s="2"/>
      <x:c r="B78" s="2"/>
      <x:c r="C78" s="2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  <x:c r="P78" s="2"/>
    </x:row>
    <x:row r="79" ht="21" customHeight="1">
      <x:c r="A79" s="2"/>
      <x:c r="B79" s="2"/>
      <x:c r="C79" s="2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2"/>
    </x:row>
    <x:row r="80" ht="21" customHeight="1">
      <x:c r="A80" s="2"/>
      <x:c r="B80" s="2"/>
      <x:c r="C80" s="2"/>
      <x:c r="D80" s="3"/>
      <x:c r="E80" s="3"/>
      <x:c r="F80" s="3"/>
      <x:c r="G80" s="3"/>
      <x:c r="H80" s="3"/>
      <x:c r="I80" s="3"/>
      <x:c r="J80" s="3"/>
      <x:c r="K80" s="3"/>
      <x:c r="L80" s="3"/>
      <x:c r="M80" s="3"/>
      <x:c r="N80" s="3"/>
      <x:c r="O80" s="3"/>
      <x:c r="P80" s="2"/>
    </x:row>
    <x:row r="81" ht="21" customHeight="1">
      <x:c r="A81" s="2"/>
      <x:c r="B81" s="2"/>
      <x:c r="C81" s="2"/>
      <x:c r="D81" s="3"/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  <x:c r="P81" s="2"/>
    </x:row>
    <x:row r="82" ht="21" customHeight="1">
      <x:c r="A82" s="2"/>
      <x:c r="B82" s="2"/>
      <x:c r="C82" s="2"/>
      <x:c r="D82" s="3"/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2"/>
    </x:row>
    <x:row r="83" ht="21" customHeight="1">
      <x:c r="A83" s="2"/>
      <x:c r="B83" s="2"/>
      <x:c r="C83" s="2"/>
      <x:c r="D83" s="3"/>
      <x:c r="E83" s="3"/>
      <x:c r="F83" s="3"/>
      <x:c r="G83" s="3"/>
      <x:c r="H83" s="3"/>
      <x:c r="I83" s="3"/>
      <x:c r="J83" s="3"/>
      <x:c r="K83" s="3"/>
      <x:c r="L83" s="3"/>
      <x:c r="M83" s="3"/>
      <x:c r="N83" s="3"/>
      <x:c r="O83" s="3"/>
      <x:c r="P83" s="2"/>
    </x:row>
    <x:row r="84" ht="21" customHeight="1">
      <x:c r="A84" s="2"/>
      <x:c r="B84" s="2"/>
      <x:c r="C84" s="2"/>
      <x:c r="D84" s="3"/>
      <x:c r="E84" s="3"/>
      <x:c r="F84" s="3"/>
      <x:c r="G84" s="3"/>
      <x:c r="H84" s="3"/>
      <x:c r="I84" s="3"/>
      <x:c r="J84" s="3"/>
      <x:c r="K84" s="3"/>
      <x:c r="L84" s="3"/>
      <x:c r="M84" s="3"/>
      <x:c r="N84" s="3"/>
      <x:c r="O84" s="3"/>
      <x:c r="P84" s="2"/>
    </x:row>
    <x:row r="85" ht="21" customHeight="1">
      <x:c r="A85" s="2"/>
      <x:c r="B85" s="2"/>
      <x:c r="C85" s="2"/>
      <x:c r="D85" s="3"/>
      <x:c r="E85" s="3"/>
      <x:c r="F85" s="3"/>
      <x:c r="G85" s="3"/>
      <x:c r="H85" s="3"/>
      <x:c r="I85" s="3"/>
      <x:c r="J85" s="3"/>
      <x:c r="K85" s="3"/>
      <x:c r="L85" s="3"/>
      <x:c r="M85" s="3"/>
      <x:c r="N85" s="3"/>
      <x:c r="O85" s="3"/>
      <x:c r="P85" s="2"/>
    </x:row>
    <x:row r="86" ht="21" customHeight="1">
      <x:c r="A86" s="2"/>
      <x:c r="B86" s="2"/>
      <x:c r="C86" s="2"/>
      <x:c r="D86" s="3"/>
      <x:c r="E86" s="3"/>
      <x:c r="F86" s="3"/>
      <x:c r="G86" s="3"/>
      <x:c r="H86" s="3"/>
      <x:c r="I86" s="3"/>
      <x:c r="J86" s="3"/>
      <x:c r="K86" s="3"/>
      <x:c r="L86" s="3"/>
      <x:c r="M86" s="3"/>
      <x:c r="N86" s="3"/>
      <x:c r="O86" s="3"/>
      <x:c r="P86" s="2"/>
    </x:row>
    <x:row r="87" ht="21" customHeight="1">
      <x:c r="A87" s="2"/>
      <x:c r="B87" s="2"/>
      <x:c r="C87" s="2"/>
      <x:c r="D87" s="3"/>
      <x:c r="E87" s="3"/>
      <x:c r="F87" s="3"/>
      <x:c r="G87" s="3"/>
      <x:c r="H87" s="3"/>
      <x:c r="I87" s="3"/>
      <x:c r="J87" s="3"/>
      <x:c r="K87" s="3"/>
      <x:c r="L87" s="3"/>
      <x:c r="M87" s="3"/>
      <x:c r="N87" s="3"/>
      <x:c r="O87" s="3"/>
      <x:c r="P87" s="2"/>
    </x:row>
    <x:row r="88" ht="21" customHeight="1">
      <x:c r="A88" s="2"/>
      <x:c r="B88" s="2"/>
      <x:c r="C88" s="2"/>
      <x:c r="D88" s="3"/>
      <x:c r="E88" s="3"/>
      <x:c r="F88" s="3"/>
      <x:c r="G88" s="3"/>
      <x:c r="H88" s="3"/>
      <x:c r="I88" s="3"/>
      <x:c r="J88" s="3"/>
      <x:c r="K88" s="3"/>
      <x:c r="L88" s="3"/>
      <x:c r="M88" s="3"/>
      <x:c r="N88" s="3"/>
      <x:c r="O88" s="3"/>
      <x:c r="P88" s="2"/>
    </x:row>
    <x:row r="89" ht="21" customHeight="1">
      <x:c r="A89" s="2"/>
      <x:c r="B89" s="2"/>
      <x:c r="C89" s="2"/>
      <x:c r="D89" s="3"/>
      <x:c r="E89" s="3"/>
      <x:c r="F89" s="3"/>
      <x:c r="G89" s="3"/>
      <x:c r="H89" s="3"/>
      <x:c r="I89" s="3"/>
      <x:c r="J89" s="3"/>
      <x:c r="K89" s="3"/>
      <x:c r="L89" s="3"/>
      <x:c r="M89" s="3"/>
      <x:c r="N89" s="3"/>
      <x:c r="O89" s="3"/>
      <x:c r="P89" s="2"/>
    </x:row>
    <x:row r="90" ht="21" customHeight="1">
      <x:c r="A90" s="2"/>
      <x:c r="B90" s="2"/>
      <x:c r="C90" s="2"/>
      <x:c r="D90" s="3"/>
      <x:c r="E90" s="3"/>
      <x:c r="F90" s="3"/>
      <x:c r="G90" s="3"/>
      <x:c r="H90" s="3"/>
      <x:c r="I90" s="3"/>
      <x:c r="J90" s="3"/>
      <x:c r="K90" s="3"/>
      <x:c r="L90" s="3"/>
      <x:c r="M90" s="3"/>
      <x:c r="N90" s="3"/>
      <x:c r="O90" s="3"/>
      <x:c r="P90" s="2"/>
    </x:row>
  </x:sheetData>
  <x:pageMargins left="0.7" right="0.7" top="0.75" bottom="0.75" header="0.3" footer="0.3"/>
</x:worksheet>
</file>