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2c88c680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ycena" sheetId="1" r:id="R207fb43efbe64c55"/>
    <x:sheet xmlns:r="http://schemas.openxmlformats.org/officeDocument/2006/relationships" name="Założenia" sheetId="2" r:id="R5529bd37994749ce"/>
    <x:sheet xmlns:r="http://schemas.openxmlformats.org/officeDocument/2006/relationships" name="Operacje" sheetId="3" r:id="R209a4dbdc4274644"/>
    <x:sheet xmlns:r="http://schemas.openxmlformats.org/officeDocument/2006/relationships" name="Nakłady i D&amp;A" sheetId="4" r:id="R1ed2741f0712481b"/>
    <x:sheet xmlns:r="http://schemas.openxmlformats.org/officeDocument/2006/relationships" name="FCFF" sheetId="5" r:id="Rd1b7bd268ba5462e"/>
    <x:sheet xmlns:r="http://schemas.openxmlformats.org/officeDocument/2006/relationships" name="Dane" sheetId="6" r:id="R463e89b2d2004235"/>
    <x:sheet xmlns:r="http://schemas.openxmlformats.org/officeDocument/2006/relationships" name="Kontrola" sheetId="7" r:id="R8549a948d2ba49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;(#,##0.0);&quot;-&quot;"/>
    <x:numFmt numFmtId="201" formatCode="0.0%;(0.0%);&quot;-&quot;"/>
    <x:numFmt numFmtId="202" formatCode="0.0&quot;x&quot;"/>
    <x:numFmt numFmtId="203" formatCode="0.0000"/>
    <x:numFmt numFmtId="204" formatCode="$0.00;$(0.00);$0.00"/>
    <x:numFmt numFmtId="205" formatCode=";;;"/>
    <x:numFmt numFmtId="206" formatCode="0.00;(0.00);0.00"/>
  </x:numFmts>
  <x:fonts count="18">
    <x:font>
      <x:sz val="11"/>
      <x:name val="Carlito"/>
    </x:font>
    <x:font>
      <x:sz val="10"/>
      <x:color rgb="FF172B46"/>
      <x:name val="Arial"/>
    </x:font>
    <x:font>
      <x:b/>
      <x:sz val="15"/>
      <x:color rgb="FF172B46"/>
      <x:name val="Arial"/>
    </x:font>
    <x:font>
      <x:sz val="10"/>
      <x:color rgb="FF008000"/>
      <x:name val="Arial"/>
    </x:font>
    <x:font>
      <x:b/>
      <x:sz val="10"/>
      <x:color rgb="FF008000"/>
      <x:name val="Arial"/>
    </x:font>
    <x:font>
      <x:i/>
      <x:sz val="10"/>
      <x:color rgb="FF172B46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72B46"/>
      <x:name val="Arial"/>
    </x:font>
    <x:font>
      <x:sz val="10"/>
      <x:color rgb="FF5A6B7E"/>
      <x:name val="Arial"/>
    </x:font>
    <x:font>
      <x:i/>
      <x:sz val="10"/>
      <x:color rgb="FF5A6B7E"/>
      <x:name val="Arial"/>
    </x:font>
    <x:font>
      <x:b/>
      <x:sz val="10"/>
      <x:color rgb="FF0000FF"/>
      <x:name val="Arial"/>
    </x:font>
    <x:font>
      <x:sz val="10"/>
      <x:color rgb="FF000000"/>
      <x:name val="Arial"/>
    </x:font>
    <x:font>
      <x:b/>
      <x:sz val="10"/>
      <x:color rgb="FF000000"/>
      <x:name val="Arial"/>
    </x:font>
    <x:font>
      <x:b/>
      <x:i/>
      <x:sz val="10"/>
      <x:color rgb="FF172B46"/>
      <x:name val="Arial"/>
    </x:font>
    <x:font>
      <x:i/>
      <x:sz val="10"/>
      <x:color rgb="FF0000FF"/>
      <x:name val="Arial"/>
    </x:font>
    <x:font>
      <x:i/>
      <x:sz val="10"/>
      <x:color rgb="FF008000"/>
      <x:name val="Arial"/>
    </x:font>
    <x:font>
      <x:b/>
      <x:sz val="12"/>
      <x:color rgb="FF172B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93A5C"/>
      </x:patternFill>
    </x:fill>
    <x:fill>
      <x:patternFill patternType="solid">
        <x:fgColor rgb="FFE9EFF5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2B46"/>
      </x:bottom>
      <x:diagonal/>
    </x:border>
    <x:border>
      <x:left style="dotted">
        <x:color rgb="FF5A6B7E"/>
      </x:left>
      <x:right style="dotted">
        <x:color rgb="FF5A6B7E"/>
      </x:right>
      <x:top style="dotted">
        <x:color rgb="FF5A6B7E"/>
      </x:top>
      <x:bottom style="dotted">
        <x:color rgb="FF5A6B7E"/>
      </x:bottom>
      <x:diagonal/>
    </x:border>
    <x:border>
      <x:left/>
      <x:right/>
      <x:top style="thin">
        <x:color rgb="FFD6DEE8"/>
      </x:top>
      <x:bottom/>
      <x:diagonal/>
    </x:border>
    <x:border>
      <x:left style="medium">
        <x:color rgb="FF172B46"/>
      </x:left>
      <x:right style="medium">
        <x:color rgb="FF172B46"/>
      </x:right>
      <x:top style="medium">
        <x:color rgb="FF172B46"/>
      </x:top>
      <x:bottom style="medium">
        <x:color rgb="FF172B46"/>
      </x:bottom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11" fillId="2" borderId="2" xfId="0" applyNumberFormat="1" applyFont="1" applyFill="1" applyBorder="1" applyAlignment="1">
      <x:alignment horizontal="center" vertical="center"/>
    </x:xf>
    <x:xf numFmtId="0" fontId="11" fillId="5" borderId="2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3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2" fontId="13" fillId="4" borderId="0" xfId="0" applyNumberFormat="1" applyFont="1" applyFill="1" applyBorder="1" applyAlignment="1">
      <x:alignment vertical="center"/>
    </x:xf>
    <x:xf numFmtId="202" fontId="7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 applyAlignment="1">
      <x:alignment vertical="center"/>
    </x:xf>
    <x:xf numFmtId="201" fontId="14" fillId="4" borderId="0" xfId="0" applyNumberFormat="1" applyFont="1" applyFill="1" applyBorder="1" applyAlignment="1">
      <x:alignment vertical="center"/>
    </x:xf>
    <x:xf numFmtId="201" fontId="15" fillId="5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200" fontId="12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6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200" fontId="13" fillId="2" borderId="0" xfId="0" applyNumberFormat="1" applyFont="1" applyFill="1" applyBorder="1" applyAlignment="1">
      <x:alignment vertical="center"/>
    </x:xf>
    <x:xf numFmtId="0" fontId="8" fillId="2" borderId="3" xfId="0" applyNumberFormat="1" applyFont="1" applyFill="1" applyBorder="1" applyAlignment="1">
      <x:alignment vertical="center"/>
    </x:xf>
    <x:xf numFmtId="200" fontId="13" fillId="2" borderId="3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3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200" fontId="17" fillId="2" borderId="0" xfId="0" applyNumberFormat="1" applyFont="1" applyFill="1" applyBorder="1" applyAlignment="1">
      <x:alignment vertical="center"/>
    </x:xf>
    <x:xf numFmtId="204" fontId="17" fillId="2" borderId="0" xfId="0" applyNumberFormat="1" applyFont="1" applyFill="1" applyBorder="1" applyAlignment="1">
      <x:alignment vertical="center"/>
    </x:xf>
    <x:xf numFmtId="0" fontId="17" fillId="2" borderId="3" xfId="0" applyNumberFormat="1" applyFont="1" applyFill="1" applyBorder="1" applyAlignment="1">
      <x:alignment vertical="center"/>
    </x:xf>
    <x:xf numFmtId="200" fontId="17" fillId="2" borderId="3" xfId="0" applyNumberFormat="1" applyFont="1" applyFill="1" applyBorder="1" applyAlignment="1">
      <x:alignment vertical="center"/>
    </x:xf>
    <x:xf numFmtId="204" fontId="17" fillId="2" borderId="3" xfId="0" applyNumberFormat="1" applyFont="1" applyFill="1" applyBorder="1" applyAlignment="1">
      <x:alignment vertical="center"/>
    </x:xf>
    <x:xf numFmtId="200" fontId="8" fillId="2" borderId="0" xfId="0" applyNumberFormat="1" applyFont="1" applyFill="1" applyBorder="1" applyAlignment="1">
      <x:alignment vertical="center"/>
    </x:xf>
    <x:xf numFmtId="200" fontId="8" fillId="2" borderId="3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2" fillId="2" borderId="0" xfId="0" applyNumberFormat="1" applyFont="1" applyFill="1" applyBorder="1" applyAlignment="1">
      <x:alignment vertical="center"/>
    </x:xf>
    <x:xf numFmtId="205" fontId="12" fillId="2" borderId="0" xfId="0" applyNumberFormat="1" applyFont="1" applyFill="1" applyBorder="1" applyAlignment="1">
      <x:alignment vertical="center"/>
    </x:xf>
    <x:xf numFmtId="204" fontId="1" fillId="2" borderId="4" xfId="0" applyNumberFormat="1" applyFont="1" applyFill="1" applyBorder="1" applyAlignment="1">
      <x:alignment vertical="center"/>
    </x:xf>
    <x:xf numFmtId="206" fontId="3" fillId="2" borderId="0" xfId="0" applyNumberFormat="1" applyFont="1" applyFill="1" applyBorder="1" applyAlignment="1">
      <x:alignment vertical="center"/>
    </x:xf>
    <x:xf numFmtId="206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b4ff7273e4689" /><Relationship Type="http://schemas.openxmlformats.org/officeDocument/2006/relationships/theme" Target="/xl/theme/theme1.xml" Id="R1798041a44694d8c" /><Relationship Type="http://schemas.openxmlformats.org/officeDocument/2006/relationships/sharedStrings" Target="/xl/sharedStrings.xml" Id="R1d2daa49b8db485f" /><Relationship Type="http://schemas.openxmlformats.org/officeDocument/2006/relationships/worksheet" Target="/xl/worksheets/sheet1.xml" Id="R207fb43efbe64c55" /><Relationship Type="http://schemas.openxmlformats.org/officeDocument/2006/relationships/worksheet" Target="/xl/worksheets/sheet2.xml" Id="R5529bd37994749ce" /><Relationship Type="http://schemas.openxmlformats.org/officeDocument/2006/relationships/worksheet" Target="/xl/worksheets/sheet3.xml" Id="R209a4dbdc4274644" /><Relationship Type="http://schemas.openxmlformats.org/officeDocument/2006/relationships/worksheet" Target="/xl/worksheets/sheet4.xml" Id="R1ed2741f0712481b" /><Relationship Type="http://schemas.openxmlformats.org/officeDocument/2006/relationships/worksheet" Target="/xl/worksheets/sheet5.xml" Id="Rd1b7bd268ba5462e" /><Relationship Type="http://schemas.openxmlformats.org/officeDocument/2006/relationships/worksheet" Target="/xl/worksheets/sheet6.xml" Id="R463e89b2d2004235" /><Relationship Type="http://schemas.openxmlformats.org/officeDocument/2006/relationships/worksheet" Target="/xl/worksheets/sheet7.xml" Id="R8549a948d2ba49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51b6a5d080a4e9c" /><Relationship Type="http://schemas.openxmlformats.org/officeDocument/2006/relationships/chart" Target="/xl/drawings/charts/chart2.xml" Id="R7792e0af5703482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Przychody segmentów 2027–2041 (mld 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Space</c:v>
          </c:tx>
          <c:spPr>
            <a:ln xmlns:a="http://schemas.openxmlformats.org/drawingml/2006/main" w="19050">
              <a:solidFill>
                <a:srgbClr val="723E8F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'Wycena'!$D$81:$D$95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Connectivity</c:v>
          </c:tx>
          <c:spPr>
            <a:ln xmlns:a="http://schemas.openxmlformats.org/drawingml/2006/main" w="19050">
              <a:solidFill>
                <a:srgbClr val="167E9B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'Wycena'!$E$81:$E$95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2"/>
          <c:order val="2"/>
          <c:tx>
            <c:v>SI</c:v>
          </c:tx>
          <c:spPr>
            <a:ln xmlns:a="http://schemas.openxmlformats.org/drawingml/2006/main" w="19050">
              <a:solidFill>
                <a:srgbClr val="BA6C32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'Wycena'!$F$81:$F$95</c:f>
              <c:numCache>
                <c:formatCode>#,##0.0;(#,##0.0);"-"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FCFF i capex 2027–2041 (mld 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FCFF</c:v>
          </c:tx>
          <c:spPr>
            <a:ln xmlns:a="http://schemas.openxmlformats.org/drawingml/2006/main" w="19050">
              <a:solidFill>
                <a:srgbClr val="153C5B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'Wycena'!$G$81:$G$95</c:f>
              <c:numCache>
                <c:formatCode>#,##0.0;(#,##0.0);"-"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Capex</c:v>
          </c:tx>
          <c:spPr>
            <a:ln xmlns:a="http://schemas.openxmlformats.org/drawingml/2006/main" w="19050">
              <a:solidFill>
                <a:srgbClr val="A9B4C0"/>
              </a:solidFill>
              <a:prstDash val="solid"/>
            </a:ln>
          </c:spPr>
          <c:marker>
            <c:symbol val="none"/>
          </c:marker>
          <c:cat>
            <c:strRef>
              <c:f>'Wycena'!$C$81:$C$95</c:f>
              <c:strCache>
                <c:ptCount val="0"/>
              </c:strCache>
            </c:strRef>
          </c:cat>
          <c:val>
            <c:numRef>
              <c:f>'Wycena'!$H$81:$H$95</c:f>
              <c:numCache>
                <c:formatCode>#,##0.0;(#,##0.0);"-"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51b6a5d080a4e9c"/>
        </a:graphicData>
      </a:graphic>
    </xdr:graphicFrame>
    <xdr:clientData/>
  </xdr:twoCellAnchor>
  <xdr:twoCellAnchor>
    <xdr:from>
      <xdr:col>7</xdr:col>
      <xdr:colOff>0</xdr:colOff>
      <xdr:row>37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92e0af5703482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3eb062fc3004aeb" /></Relationships>
</file>

<file path=xl/worksheets/sheet1.xml><?xml version="1.0" encoding="utf-8"?>
<x:worksheet xmlns:x="http://schemas.openxmlformats.org/spreadsheetml/2006/main">
  <x:sheetPr>
    <x:tabColor rgb="FF193A5C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model DCF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2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2" customHeight="1">
      <x:c r="A5" s="3"/>
      <x:c r="B5" s="3"/>
      <x:c r="C5" s="10" t="str">
        <x:v>Bilans: 30.09.2026. Informacje i kurs: 20.10.2026.</x:v>
      </x:c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2" customHeight="1">
      <x:c r="A6" s="3"/>
      <x:c r="B6" s="3"/>
      <x:c r="C6" s="10" t="str">
        <x:v>USD mln. Cena na raportowaną akcję w USD. Prognoza Q4:26–2041.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2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3" customHeight="1">
      <x:c r="A8" s="3"/>
      <x:c r="B8" s="3"/>
      <x:c r="C8" s="57" t="str">
        <x:v>Wartość kapitału własnego</x:v>
      </x:c>
      <x:c r="D8" s="58" t="n">
        <x:f>MAX(0,D16)</x:f>
        <x:v>249892.85590394775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3" customHeight="1">
      <x:c r="A9" s="3"/>
      <x:c r="B9" s="3"/>
      <x:c r="C9" s="57" t="str">
        <x:v>Wartość na raportowaną akcję (USD)</x:v>
      </x:c>
      <x:c r="D9" s="59" t="n">
        <x:f>D8/D17</x:f>
        <x:v>18.402890927457673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2" customHeight="1">
      <x:c r="A10" s="3"/>
      <x:c r="B10" s="3"/>
      <x:c r="C10" s="3" t="str">
        <x:v>Kurs odniesienia (USD)</x:v>
      </x:c>
      <x:c r="D10" s="50" t="n">
        <x:f>'Założenia'!$D$191</x:f>
        <x:v>147.79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2" customHeight="1">
      <x:c r="A11" s="3"/>
      <x:c r="B11" s="3"/>
      <x:c r="C11" s="10" t="str">
        <x:v>Różnica wobec kursu odniesienia</x:v>
      </x:c>
      <x:c r="D11" s="52" t="n">
        <x:f>D9/D10-1</x:f>
        <x:v>-0.8754794578289622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3" customHeight="1">
      <x:c r="A12" s="3"/>
      <x:c r="B12" s="3"/>
      <x:c r="C12" s="45" t="str">
        <x:v>Enterprise value</x:v>
      </x:c>
      <x:c r="D12" s="61" t="n">
        <x:f>SUM(D13:D14)</x:f>
        <x:v>208881.85590394775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2" customHeight="1">
      <x:c r="A13" s="3"/>
      <x:c r="B13" s="3"/>
      <x:c r="C13" s="3" t="str">
        <x:v>PV jawnych przepływów</x:v>
      </x:c>
      <x:c r="D13" s="14" t="n">
        <x:f>SUM('FCFF'!D27:S27)</x:f>
        <x:v>20454.66631762337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2" customHeight="1">
      <x:c r="A14" s="3"/>
      <x:c r="B14" s="3"/>
      <x:c r="C14" s="3" t="str">
        <x:v>PV wartości terminalnej</x:v>
      </x:c>
      <x:c r="D14" s="14" t="n">
        <x:f>D54/(1+D25)^'FCFF'!S$6</x:f>
        <x:v>188427.18958632438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2" customHeight="1">
      <x:c r="A15" s="3"/>
      <x:c r="B15" s="3"/>
      <x:c r="C15" s="10" t="str">
        <x:v>Udział wartości terminalnej w EV</x:v>
      </x:c>
      <x:c r="D15" s="52" t="n">
        <x:f>D14/D12</x:f>
        <x:v>0.9020754280973583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2" customHeight="1">
      <x:c r="A16" s="3"/>
      <x:c r="B16" s="3"/>
      <x:c r="C16" s="3" t="str">
        <x:v>Surowa wartość kapitału przed limitem</x:v>
      </x:c>
      <x:c r="D16" s="14" t="n">
        <x:f>D12+D37</x:f>
        <x:v>249892.85590394775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2" customHeight="1">
      <x:c r="A17" s="3"/>
      <x:c r="B17" s="3"/>
      <x:c r="C17" s="3" t="str">
        <x:v>Raportowane akcje ogółem (mln)</x:v>
      </x:c>
      <x:c r="D17" s="14" t="n">
        <x:f>'Założenia'!$D$190</x:f>
        <x:v>13579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2" customHeight="1">
      <x:c r="A18" s="3"/>
      <x:c r="B18" s="3"/>
      <x:c r="C18" s="3" t="str">
        <x:v>Cena przy dodatkowym rozwodnieniu 10%</x:v>
      </x:c>
      <x:c r="D18" s="50" t="n">
        <x:f>D9/1.1</x:f>
        <x:v>16.729900843143337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2" customHeight="1">
      <x:c r="A19" s="3"/>
      <x:c r="B19" s="3"/>
      <x:c r="C19" s="3" t="str">
        <x:v>Cena przy dodatkowym rozwodnieniu 20%</x:v>
      </x:c>
      <x:c r="D19" s="50" t="n">
        <x:f>D9/1.2</x:f>
        <x:v>15.335742439548062</x:v>
      </x:c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2" customHeight="1">
      <x:c r="A20" s="3"/>
      <x:c r="B20" s="3"/>
      <x:c r="C20" s="3"/>
      <x:c r="D20" s="14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2" customHeight="1">
      <x:c r="A21" s="3"/>
      <x:c r="B21" s="3"/>
      <x:c r="C21" s="3"/>
      <x:c r="D21" s="14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2" customHeight="1">
      <x:c r="A22" s="3"/>
      <x:c r="B22" s="3"/>
      <x:c r="C22" s="3"/>
      <x:c r="D22" s="14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3" customHeight="1">
      <x:c r="A23" s="3"/>
      <x:c r="B23" s="3"/>
      <x:c r="C23" s="17" t="str">
        <x:v>Koszt kapitału i wzrost terminalny</x:v>
      </x:c>
      <x:c r="D23" s="32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2" customHeight="1">
      <x:c r="A24" s="3"/>
      <x:c r="B24" s="3"/>
      <x:c r="C24" s="3"/>
      <x:c r="D24" s="14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2" customHeight="1">
      <x:c r="A25" s="3"/>
      <x:c r="B25" s="3"/>
      <x:c r="C25" s="10" t="str">
        <x:v>WACC</x:v>
      </x:c>
      <x:c r="D25" s="52" t="n">
        <x:f>D30*(1-D31)+D32*(1-D28)*D31</x:f>
        <x:v>0.11984171576592305</x:v>
      </x:c>
      <x:c r="E25" s="3"/>
      <x:c r="F25" s="3"/>
      <x:c r="G25" s="3"/>
      <x:c r="H25" s="3" t="str">
        <x:v>Wrażliwość wartości na raportowaną akcję (USD)</x:v>
      </x:c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2" customHeight="1">
      <x:c r="A26" s="3"/>
      <x:c r="B26" s="3"/>
      <x:c r="C26" s="10" t="str">
        <x:v>Terminalny wzrost g</x:v>
      </x:c>
      <x:c r="D26" s="52" t="n">
        <x:f>'Założenia'!D40</x:f>
        <x:v>0.03</x:v>
      </x:c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2" customHeight="1">
      <x:c r="A27" s="3"/>
      <x:c r="B27" s="3"/>
      <x:c r="C27" s="10" t="str">
        <x:v>Terminalny ROIC</x:v>
      </x:c>
      <x:c r="D27" s="52" t="n">
        <x:f>'Założenia'!D45</x:f>
        <x:v>0.14</x:v>
      </x:c>
      <x:c r="E27" s="3"/>
      <x:c r="F27" s="3"/>
      <x:c r="G27" s="3"/>
      <x:c r="H27" s="3"/>
      <x:c r="I27" s="3" t="str">
        <x:v>Terminalny wzrost g</x:v>
      </x:c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2" customHeight="1">
      <x:c r="A28" s="3"/>
      <x:c r="B28" s="3"/>
      <x:c r="C28" s="10" t="str">
        <x:v>Efektywna stopa podatku</x:v>
      </x:c>
      <x:c r="D28" s="52" t="n">
        <x:f>'Założenia'!D10</x:f>
        <x:v>0.25</x:v>
      </x:c>
      <x:c r="E28" s="3"/>
      <x:c r="F28" s="3"/>
      <x:c r="G28" s="3"/>
      <x:c r="H28" s="64" t="n">
        <x:f>D9</x:f>
        <x:v>18.402890927457673</x:v>
      </x:c>
      <x:c r="I28" s="63" t="n">
        <x:f>$D$26-0.01</x:f>
        <x:v>0.019999999999999997</x:v>
      </x:c>
      <x:c r="J28" s="63" t="n">
        <x:f>$D$26-0.005</x:f>
        <x:v>0.024999999999999998</x:v>
      </x:c>
      <x:c r="K28" s="63" t="n">
        <x:f>$D$26+0</x:f>
        <x:v>0.03</x:v>
      </x:c>
      <x:c r="L28" s="63" t="n">
        <x:f>$D$26+0.005</x:f>
        <x:v>0.034999999999999996</x:v>
      </x:c>
      <x:c r="M28" s="63" t="n">
        <x:f>$D$26+0.01</x:f>
        <x:v>0.04</x:v>
      </x:c>
      <x:c r="N28" s="3"/>
      <x:c r="O28" s="3"/>
      <x:c r="P28" s="3"/>
      <x:c r="Q28" s="3"/>
      <x:c r="R28" s="3"/>
      <x:c r="S28" s="3"/>
    </x:row>
    <x:row r="29" ht="22" customHeight="1">
      <x:c r="A29" s="3"/>
      <x:c r="B29" s="3"/>
      <x:c r="C29" s="3"/>
      <x:c r="D29" s="14"/>
      <x:c r="E29" s="3"/>
      <x:c r="F29" s="3"/>
      <x:c r="G29" s="3"/>
      <x:c r="H29" s="63" t="n">
        <x:f>$D$25-0.02</x:f>
        <x:v>0.09984171576592304</x:v>
      </x:c>
      <x:c r="I29" s="50" t="n">
        <x:f t="dataTable" ref="I29:M33" dt2D="1" r1="D26" r2="D25"/>
        <x:v>29.1605254483958</x:v>
      </x:c>
      <x:c r="J29" s="50" t="n">
        <x:v>29.7531254290698</x:v>
      </x:c>
      <x:c r="K29" s="50" t="n">
        <x:v>30.4223669408997</x:v>
      </x:c>
      <x:c r="L29" s="50" t="n">
        <x:v>31.1859796653684</x:v>
      </x:c>
      <x:c r="M29" s="50" t="n">
        <x:v>32.0676188097419</x:v>
      </x:c>
      <x:c r="N29" s="3"/>
      <x:c r="O29" s="3"/>
      <x:c r="P29" s="3"/>
      <x:c r="Q29" s="3"/>
      <x:c r="R29" s="3"/>
      <x:c r="S29" s="3"/>
    </x:row>
    <x:row r="30" ht="22" customHeight="1">
      <x:c r="A30" s="3"/>
      <x:c r="B30" s="3"/>
      <x:c r="C30" s="10" t="str">
        <x:v>Koszt kapitału własnego</x:v>
      </x:c>
      <x:c r="D30" s="52" t="n">
        <x:f>D33+D34*D35</x:f>
        <x:v>0.121</x:v>
      </x:c>
      <x:c r="E30" s="3"/>
      <x:c r="F30" s="3"/>
      <x:c r="G30" s="3" t="str">
        <x:v>WACC</x:v>
      </x:c>
      <x:c r="H30" s="63" t="n">
        <x:f>$D$25-0.01</x:f>
        <x:v>0.10984171576592305</x:v>
      </x:c>
      <x:c r="I30" s="50" t="n">
        <x:v>22.8612797720136</x:v>
      </x:c>
      <x:c r="J30" s="50" t="n">
        <x:v>23.1882131319945</x:v>
      </x:c>
      <x:c r="K30" s="50" t="n">
        <x:v>23.5498403103304</x:v>
      </x:c>
      <x:c r="L30" s="50" t="n">
        <x:v>23.9531147456216</x:v>
      </x:c>
      <x:c r="M30" s="50" t="n">
        <x:v>24.4069810757179</x:v>
      </x:c>
      <x:c r="N30" s="3"/>
      <x:c r="O30" s="3"/>
      <x:c r="P30" s="3"/>
      <x:c r="Q30" s="3"/>
      <x:c r="R30" s="3"/>
      <x:c r="S30" s="3"/>
    </x:row>
    <x:row r="31" ht="22" customHeight="1">
      <x:c r="A31" s="3"/>
      <x:c r="B31" s="3"/>
      <x:c r="C31" s="10" t="str">
        <x:v>Udział długu w kapitale rynkowym</x:v>
      </x:c>
      <x:c r="D31" s="52" t="n">
        <x:f>'Założenia'!$D$188/('Założenia'!$D$188+'Założenia'!$D$191*'Założenia'!$D$190)</x:f>
        <x:v>0.01898826613240896</x:v>
      </x:c>
      <x:c r="E31" s="3"/>
      <x:c r="F31" s="3"/>
      <x:c r="G31" s="3"/>
      <x:c r="H31" s="63" t="n">
        <x:f>$D$25+0</x:f>
        <x:v>0.11984171576592305</x:v>
      </x:c>
      <x:c r="I31" s="50" t="n">
        <x:v>18.0388809687708</x:v>
      </x:c>
      <x:c r="J31" s="50" t="n">
        <x:v>18.2135865903655</x:v>
      </x:c>
      <x:c r="K31" s="65" t="n">
        <x:v>18.4028909274577</x:v>
      </x:c>
      <x:c r="L31" s="50" t="n">
        <x:v>18.6093750303064</x:v>
      </x:c>
      <x:c r="M31" s="50" t="n">
        <x:v>18.8362664909527</x:v>
      </x:c>
      <x:c r="N31" s="3"/>
      <x:c r="O31" s="3"/>
      <x:c r="P31" s="3"/>
      <x:c r="Q31" s="3"/>
      <x:c r="R31" s="3"/>
      <x:c r="S31" s="3"/>
    </x:row>
    <x:row r="32" ht="22" customHeight="1">
      <x:c r="A32" s="3"/>
      <x:c r="B32" s="3"/>
      <x:c r="C32" s="10" t="str">
        <x:v>Koszt długu przed podatkiem</x:v>
      </x:c>
      <x:c r="D32" s="52" t="n">
        <x:f>'Założenia'!D35</x:f>
        <x:v>0.08</x:v>
      </x:c>
      <x:c r="E32" s="3"/>
      <x:c r="F32" s="3"/>
      <x:c r="G32" s="3"/>
      <x:c r="H32" s="63" t="n">
        <x:f>$D$25+0.01</x:f>
        <x:v>0.12984171576592304</x:v>
      </x:c>
      <x:c r="I32" s="50" t="n">
        <x:v>14.2729896798751</x:v>
      </x:c>
      <x:c r="J32" s="50" t="n">
        <x:v>14.3588962192034</x:v>
      </x:c>
      <x:c r="K32" s="50" t="n">
        <x:v>14.4495983117507</x:v>
      </x:c>
      <x:c r="L32" s="50" t="n">
        <x:v>14.5458544138323</x:v>
      </x:c>
      <x:c r="M32" s="50" t="n">
        <x:v>14.6485918245578</x:v>
      </x:c>
      <x:c r="N32" s="3"/>
      <x:c r="O32" s="3"/>
      <x:c r="P32" s="3"/>
      <x:c r="Q32" s="3"/>
      <x:c r="R32" s="3"/>
      <x:c r="S32" s="3"/>
    </x:row>
    <x:row r="33" ht="22" customHeight="1">
      <x:c r="A33" s="3"/>
      <x:c r="B33" s="3"/>
      <x:c r="C33" s="10" t="str">
        <x:v>Stopa wolna od ryzyka (założenie)</x:v>
      </x:c>
      <x:c r="D33" s="52" t="n">
        <x:f>'Założenia'!D20</x:f>
        <x:v>0.051</x:v>
      </x:c>
      <x:c r="E33" s="3"/>
      <x:c r="F33" s="3"/>
      <x:c r="G33" s="3"/>
      <x:c r="H33" s="63" t="n">
        <x:f>$D$25+0.02</x:f>
        <x:v>0.13984171576592305</x:v>
      </x:c>
      <x:c r="I33" s="50" t="n">
        <x:v>11.285124078271</x:v>
      </x:c>
      <x:c r="J33" s="50" t="n">
        <x:v>11.3189199644996</x:v>
      </x:c>
      <x:c r="K33" s="50" t="n">
        <x:v>11.3527659764411</x:v>
      </x:c>
      <x:c r="L33" s="50" t="n">
        <x:v>11.3866692857225</x:v>
      </x:c>
      <x:c r="M33" s="50" t="n">
        <x:v>11.4206385005702</x:v>
      </x:c>
      <x:c r="N33" s="3"/>
      <x:c r="O33" s="3"/>
      <x:c r="P33" s="3"/>
      <x:c r="Q33" s="3"/>
      <x:c r="R33" s="3"/>
      <x:c r="S33" s="3"/>
    </x:row>
    <x:row r="34" ht="22" customHeight="1">
      <x:c r="A34" s="3"/>
      <x:c r="B34" s="3"/>
      <x:c r="C34" s="3" t="str">
        <x:v>Beta (założenie)</x:v>
      </x:c>
      <x:c r="D34" s="53" t="n">
        <x:f>'Założenia'!D30</x:f>
        <x:v>1.4</x:v>
      </x:c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2" customHeight="1">
      <x:c r="A35" s="3"/>
      <x:c r="B35" s="3"/>
      <x:c r="C35" s="10" t="str">
        <x:v>Premia rynkowa (założenie)</x:v>
      </x:c>
      <x:c r="D35" s="52" t="n">
        <x:f>'Założenia'!D25</x:f>
        <x:v>0.05</x:v>
      </x:c>
      <x:c r="E35" s="3"/>
      <x:c r="F35" s="3"/>
      <x:c r="G35" s="3"/>
      <x:c r="H35" s="3" t="str">
        <x:v>Pełne przeliczenie modelu. Zmiana g obejmuje również końcowy CIP.</x:v>
      </x:c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2" customHeight="1">
      <x:c r="A36" s="3"/>
      <x:c r="B36" s="3"/>
      <x:c r="C36" s="3"/>
      <x:c r="D36" s="14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3" customHeight="1">
      <x:c r="A37" s="3"/>
      <x:c r="B37" s="3"/>
      <x:c r="C37" s="45" t="str">
        <x:v>Mostek EV do kapitału własnego</x:v>
      </x:c>
      <x:c r="D37" s="61" t="n">
        <x:f>SUM(D38:D39)-SUM(D40:D41)</x:f>
        <x:v>41011</x:v>
      </x:c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2" customHeight="1">
      <x:c r="A38" s="3"/>
      <x:c r="B38" s="3"/>
      <x:c r="C38" s="3" t="str">
        <x:v>Środki pieniężne</x:v>
      </x:c>
      <x:c r="D38" s="14" t="n">
        <x:f>'Założenia'!$D$186</x:f>
        <x:v>51294</x:v>
      </x:c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2" customHeight="1">
      <x:c r="A39" s="3"/>
      <x:c r="B39" s="3"/>
      <x:c r="C39" s="3" t="str">
        <x:v>Papiery wartościowe</x:v>
      </x:c>
      <x:c r="D39" s="14" t="n">
        <x:f>'Założenia'!$D$187</x:f>
        <x:v>38561</x:v>
      </x:c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2" customHeight="1">
      <x:c r="A40" s="3"/>
      <x:c r="B40" s="3"/>
      <x:c r="C40" s="3" t="str">
        <x:v>Dług i leasing finansowy</x:v>
      </x:c>
      <x:c r="D40" s="14" t="n">
        <x:f>'Założenia'!$D$188</x:f>
        <x:v>38844</x:v>
      </x:c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2" customHeight="1">
      <x:c r="A41" s="3"/>
      <x:c r="B41" s="3"/>
      <x:c r="C41" s="3" t="str">
        <x:v>Rezerwa gotówki operacyjnej</x:v>
      </x:c>
      <x:c r="D41" s="14" t="n">
        <x:f>'Założenia'!$D$178</x:f>
        <x:v>10000</x:v>
      </x:c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2" customHeight="1">
      <x:c r="A42" s="3"/>
      <x:c r="B42" s="3"/>
      <x:c r="C42" s="3"/>
      <x:c r="D42" s="14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3" customHeight="1">
      <x:c r="A43" s="3"/>
      <x:c r="B43" s="3"/>
      <x:c r="C43" s="17" t="str">
        <x:v>Terminal — z reinwestycją i odtworzeniem</x:v>
      </x:c>
      <x:c r="D43" s="32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2" customHeight="1">
      <x:c r="A44" s="3"/>
      <x:c r="B44" s="3"/>
      <x:c r="C44" s="3" t="str">
        <x:v>Przychody terminalne</x:v>
      </x:c>
      <x:c r="D44" s="14" t="n">
        <x:f>'Operacje'!S69*(1+D26)</x:f>
        <x:v>589749.742688566</x:v>
      </x:c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2" customHeight="1">
      <x:c r="A45" s="3"/>
      <x:c r="B45" s="3"/>
      <x:c r="C45" s="3" t="str">
        <x:v>EBIT terminalny</x:v>
      </x:c>
      <x:c r="D45" s="14" t="n">
        <x:f>'FCFF'!S11*(1+D26)</x:f>
        <x:v>161411.50210179013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2" customHeight="1">
      <x:c r="A46" s="3"/>
      <x:c r="B46" s="3"/>
      <x:c r="C46" s="3" t="str">
        <x:v>NOPAT terminalny</x:v>
      </x:c>
      <x:c r="D46" s="14" t="n">
        <x:f>D45*(1-D28)</x:f>
        <x:v>121058.62657634259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2" customHeight="1">
      <x:c r="A47" s="3"/>
      <x:c r="B47" s="3"/>
      <x:c r="C47" s="3" t="str">
        <x:v>D&amp;A terminalna</x:v>
      </x:c>
      <x:c r="D47" s="14" t="n">
        <x:f>'FCFF'!S10*(1+D26)</x:f>
        <x:v>163802.1150949431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2" customHeight="1">
      <x:c r="A48" s="3"/>
      <x:c r="B48" s="3"/>
      <x:c r="C48" s="3" t="str">
        <x:v>Inwestycje wzrostowe terminalne</x:v>
      </x:c>
      <x:c r="D48" s="14" t="n">
        <x:f>MAX(0,D46)*D26/D27</x:f>
        <x:v>25941.134266359124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2" customHeight="1">
      <x:c r="A49" s="3"/>
      <x:c r="B49" s="3"/>
      <x:c r="C49" s="3" t="str">
        <x:v>Zmiana NWC w terminalu</x:v>
      </x:c>
      <x:c r="D49" s="14" t="n">
        <x:f>'Założenia'!D15*'Operacje'!S69*D26</x:f>
        <x:v>515.3153091453488</x:v>
      </x:c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2" customHeight="1">
      <x:c r="A50" s="3"/>
      <x:c r="B50" s="3"/>
      <x:c r="C50" s="3" t="str">
        <x:v>Minimalne nakłady odtworzeniowe</x:v>
      </x:c>
      <x:c r="D50" s="14" t="n">
        <x:f>'Operacje'!S40*'Założenia'!$D$182*(1+D26)+'Operacje'!S26*'Założenia'!$D$181*(1+D26)+'Operacje'!S44*'Operacje'!S58*('Założenia'!$D$183/'Operacje'!S59+(1-'Założenia'!$D$183)/'Założenia'!$D$184)*(1+D26)</x:f>
        <x:v>149328.59073365704</x:v>
      </x:c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2" customHeight="1">
      <x:c r="A51" s="3"/>
      <x:c r="B51" s="3"/>
      <x:c r="C51" s="3" t="str">
        <x:v>Dodatkowy capex odtworzeniowy</x:v>
      </x:c>
      <x:c r="D51" s="14" t="n">
        <x:f>MAX(0,D50-D47)</x:f>
        <x:v>0</x:v>
      </x:c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2" customHeight="1">
      <x:c r="A52" s="3"/>
      <x:c r="B52" s="3"/>
      <x:c r="C52" s="3" t="str">
        <x:v>Capex terminalny</x:v>
      </x:c>
      <x:c r="D52" s="14" t="n">
        <x:f>SUM(D47:D48,D51)-D49</x:f>
        <x:v>189227.93405215687</x:v>
      </x:c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3" customHeight="1">
      <x:c r="A53" s="3"/>
      <x:c r="B53" s="3"/>
      <x:c r="C53" s="45" t="str">
        <x:v>FCFF terminalny</x:v>
      </x:c>
      <x:c r="D53" s="61" t="n">
        <x:f>D46-D48-D51</x:f>
        <x:v>95117.49230998347</x:v>
      </x:c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</x:row>
    <x:row r="54" ht="22" customHeight="1">
      <x:c r="A54" s="3"/>
      <x:c r="B54" s="3"/>
      <x:c r="C54" s="3" t="str">
        <x:v>Wartość terminalna</x:v>
      </x:c>
      <x:c r="D54" s="14" t="n">
        <x:f>MAX(0,D53)/(D25-D26)</x:f>
        <x:v>1058723.0163525164</x:v>
      </x:c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</x:row>
    <x:row r="55" ht="22" customHeight="1">
      <x:c r="A55" s="3"/>
      <x:c r="B55" s="3"/>
      <x:c r="C55" s="3"/>
      <x:c r="D55" s="14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</x:row>
    <x:row r="56" ht="23" customHeight="1">
      <x:c r="A56" s="3"/>
      <x:c r="B56" s="3"/>
      <x:c r="C56" s="17" t="str">
        <x:v>Stres ekonomiczny i oczekiwania rynkowe</x:v>
      </x:c>
      <x:c r="D56" s="32"/>
      <x:c r="E56" s="3"/>
      <x:c r="F56" s="3"/>
      <x:c r="G56" s="3"/>
      <x:c r="H56" s="3" t="str">
        <x:v>SBC pozostaje kosztem ekonomicznym. 13 579 mln to akcje raportowane, nie pełny FD count.</x:v>
      </x:c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2" customHeight="1">
      <x:c r="A57" s="3"/>
      <x:c r="B57" s="3"/>
      <x:c r="C57" s="3" t="str">
        <x:v>Szczytowy deficyt w stresie ekonomicznym</x:v>
      </x:c>
      <x:c r="D57" s="14" t="n">
        <x:f>MAX(0,-MIN('FCFF'!D34:S34))</x:f>
        <x:v>227734.36996024702</x:v>
      </x:c>
      <x:c r="E57" s="3"/>
      <x:c r="F57" s="3"/>
      <x:c r="G57" s="3"/>
      <x:c r="H57" s="3" t="str">
        <x:v>Przy ujemnym DCF kapitał ma dolny limit zero. Surowy wynik pozostaje widoczny w D16.</x:v>
      </x:c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2" customHeight="1">
      <x:c r="A58" s="3"/>
      <x:c r="B58" s="3"/>
      <x:c r="C58" s="3" t="str">
        <x:v>Dostępna płynność po rezerwie</x:v>
      </x:c>
      <x:c r="D58" s="14" t="n">
        <x:f>SUM(D38:D39)-D41</x:f>
        <x:v>79855</x:v>
      </x:c>
      <x:c r="E58" s="3"/>
      <x:c r="F58" s="3"/>
      <x:c r="G58" s="3"/>
      <x:c r="H58" s="3" t="str">
        <x:v>Stres ekonomiczny po ekwiwalencie gotówkowym SBC. Luka nie oznacza dosłownej potrzeby pożyczkowej.</x:v>
      </x:c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</x:row>
    <x:row r="59" ht="23" customHeight="1">
      <x:c r="A59" s="3"/>
      <x:c r="B59" s="3"/>
      <x:c r="C59" s="45" t="str">
        <x:v>Potencjalna luka w stresie ekonomicznym</x:v>
      </x:c>
      <x:c r="D59" s="61" t="n">
        <x:f>MAX(0,D57-D58)</x:f>
        <x:v>147879.36996024702</x:v>
      </x:c>
      <x:c r="E59" s="3"/>
      <x:c r="F59" s="3"/>
      <x:c r="G59" s="3"/>
      <x:c r="H59" s="3" t="str">
        <x:v>Data bilansu i data kursu są różne. Kurs jest obserwacją historyczną, nie notowaniem live.</x:v>
      </x:c>
      <x:c r="I59" s="3"/>
      <x:c r="J59" s="3"/>
      <x:c r="K59" s="3"/>
      <x:c r="L59" s="3"/>
      <x:c r="M59" s="3"/>
      <x:c r="N59" s="3"/>
      <x:c r="O59" s="3"/>
      <x:c r="P59" s="3"/>
      <x:c r="Q59" s="3"/>
      <x:c r="R59" s="3"/>
      <x:c r="S59" s="3"/>
    </x:row>
    <x:row r="60" ht="22" customHeight="1">
      <x:c r="A60" s="3"/>
      <x:c r="B60" s="3"/>
      <x:c r="C60" s="3"/>
      <x:c r="D60" s="14"/>
      <x:c r="E60" s="3"/>
      <x:c r="F60" s="3"/>
      <x:c r="G60" s="3"/>
      <x:c r="H60" s="3" t="str">
        <x:v>Guidance zarządu na Q4:26: capex 35–40 mld USD. Bazowy budżet modelu: 37,5 mld USD.</x:v>
      </x:c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</x:row>
    <x:row r="61" ht="22" customHeight="1">
      <x:c r="A61" s="3"/>
      <x:c r="B61" s="3"/>
      <x:c r="C61" s="3" t="str">
        <x:v>Kapitalizacja przy kursie odniesienia</x:v>
      </x:c>
      <x:c r="D61" s="14" t="n">
        <x:f>D10*D17</x:f>
        <x:v>2006840.41</x:v>
      </x:c>
      <x:c r="E61" s="3"/>
      <x:c r="F61" s="3"/>
      <x:c r="G61" s="3"/>
      <x:c r="H61" s="3" t="str">
        <x:v>Guidance Q1:27: przychody 33–37 mld USD. Bazowa ścieżka AI jest ostrożniejsza od ambicji zarządu.</x:v>
      </x:c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</x:row>
    <x:row r="62" ht="22" customHeight="1">
      <x:c r="A62" s="3"/>
      <x:c r="B62" s="3"/>
      <x:c r="C62" s="3" t="str">
        <x:v>EV wymagane przez kurs odniesienia</x:v>
      </x:c>
      <x:c r="D62" s="14" t="n">
        <x:f>D61-D37</x:f>
        <x:v>1965829.41</x:v>
      </x:c>
      <x:c r="E62" s="3"/>
      <x:c r="F62" s="3"/>
      <x:c r="G62" s="3"/>
      <x:c r="H62" s="3" t="str">
        <x:v>Aktywa cyfrowe 1 573 mln USD pominięto konserwatywnie w mostku do equity.</x:v>
      </x:c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</x:row>
    <x:row r="63" ht="22" customHeight="1">
      <x:c r="A63" s="3"/>
      <x:c r="B63" s="3"/>
      <x:c r="C63" s="3" t="str">
        <x:v>FCFF terminalny wymagany przez kurs</x:v>
      </x:c>
      <x:c r="D63" s="14" t="n">
        <x:f>(D62-D13)*(1+D25)^'FCFF'!S$6*(D25-D26)</x:f>
        <x:v>982019.4613552431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</x:row>
    <x:row r="64" ht="22" customHeight="1">
      <x:c r="A64" s="3"/>
      <x:c r="B64" s="3"/>
      <x:c r="C64" s="3" t="str">
        <x:v>NOPAT terminalny wymagany przez kurs</x:v>
      </x:c>
      <x:c r="D64" s="14" t="n">
        <x:f>(D63+D51)/(1-D26/D27)</x:f>
        <x:v>1249842.9508157638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</x:row>
    <x:row r="65" ht="22" customHeight="1">
      <x:c r="A65" s="3"/>
      <x:c r="B65" s="3"/>
      <x:c r="C65" s="10" t="str">
        <x:v>Wymagana marża EBIT terminalna</x:v>
      </x:c>
      <x:c r="D65" s="52" t="n">
        <x:f>D64/((1-D28)*D44)</x:f>
        <x:v>2.825702407528428</x:v>
      </x:c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</x:row>
    <x:row r="66" ht="22" customHeight="1">
      <x:c r="A66" s="3"/>
      <x:c r="B66" s="3"/>
      <x:c r="C66" s="3"/>
      <x:c r="D66" s="14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</x:row>
    <x:row r="67" ht="23" customHeight="1">
      <x:c r="A67" s="3"/>
      <x:c r="B67" s="3"/>
      <x:c r="C67" s="17" t="str">
        <x:v>Rok przejściowy</x:v>
      </x:c>
      <x:c r="D67" s="32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</x:row>
    <x:row r="68" ht="22" customHeight="1">
      <x:c r="A68" s="3"/>
      <x:c r="B68" s="3"/>
      <x:c r="C68" s="3" t="str">
        <x:v>Przychody 2026E (9M actual + Q4E)</x:v>
      </x:c>
      <x:c r="D68" s="14" t="n">
        <x:f>'Dane'!G9+'Operacje'!D69</x:f>
        <x:v>44941.85</x:v>
      </x:c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</x:row>
    <x:row r="69" ht="22" customHeight="1">
      <x:c r="A69" s="3"/>
      <x:c r="B69" s="3"/>
      <x:c r="C69" s="3" t="str">
        <x:v>EBIT 2026E (9M actual + Q4E)</x:v>
      </x:c>
      <x:c r="D69" s="14" t="n">
        <x:f>'Dane'!G10+'FCFF'!D11</x:f>
        <x:v>3124.5756854563506</x:v>
      </x:c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</x:row>
    <x:row r="70" ht="22" customHeight="1">
      <x:c r="A70" s="3"/>
      <x:c r="B70" s="3"/>
      <x:c r="C70" s="3" t="str">
        <x:v>Capex 2026E (9M actual + Q4E)</x:v>
      </x:c>
      <x:c r="D70" s="14" t="n">
        <x:f>'Dane'!G14+'Operacje'!D72</x:f>
        <x:v>85569</x:v>
      </x:c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</x:row>
    <x:row r="71" ht="22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</x:row>
    <x:row r="72" ht="22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</x:row>
    <x:row r="73" ht="22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</x:row>
    <x:row r="74" ht="22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2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2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2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</x:row>
    <x:row r="78" ht="22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</x:row>
    <x:row r="79" ht="22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</x:row>
    <x:row r="80" ht="22" customHeight="1">
      <x:c r="A80" s="3"/>
      <x:c r="B80" s="3"/>
      <x:c r="C80" s="12" t="str">
        <x:v>Okres</x:v>
      </x:c>
      <x:c r="D80" s="12" t="str">
        <x:v>Space</x:v>
      </x:c>
      <x:c r="E80" s="12" t="str">
        <x:v>Connectivity</x:v>
      </x:c>
      <x:c r="F80" s="12" t="str">
        <x:v>SI</x:v>
      </x:c>
      <x:c r="G80" s="12" t="str">
        <x:v>FCFF</x:v>
      </x:c>
      <x:c r="H80" s="12" t="str">
        <x:v>Capex</x:v>
      </x:c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</x:row>
    <x:row r="81" ht="22" customHeight="1">
      <x:c r="A81" s="3"/>
      <x:c r="B81" s="3"/>
      <x:c r="C81" s="3" t="str">
        <x:v>2027E</x:v>
      </x:c>
      <x:c r="D81" s="38" t="n">
        <x:f>'Operacje'!E33/1000</x:f>
        <x:v>8.058162826841412</x:v>
      </x:c>
      <x:c r="E81" s="38" t="n">
        <x:f>'Operacje'!E20/1000</x:f>
        <x:v>26.775186477571093</x:v>
      </x:c>
      <x:c r="F81" s="38" t="n">
        <x:f>'Operacje'!E51/1000</x:f>
        <x:v>57.93831792021548</x:v>
      </x:c>
      <x:c r="G81" s="38" t="n">
        <x:f>'FCFF'!E25/1000</x:f>
        <x:v>-21.588633878186606</x:v>
      </x:c>
      <x:c r="H81" s="38" t="n">
        <x:f>'Operacje'!E72/1000</x:f>
        <x:v>64.2383358727604</x:v>
      </x:c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2" customHeight="1">
      <x:c r="A82" s="3"/>
      <x:c r="B82" s="3"/>
      <x:c r="C82" s="3" t="str">
        <x:v>2028E</x:v>
      </x:c>
      <x:c r="D82" s="38" t="n">
        <x:f>'Operacje'!F33/1000</x:f>
        <x:v>9.043771552438324</x:v>
      </x:c>
      <x:c r="E82" s="38" t="n">
        <x:f>'Operacje'!F20/1000</x:f>
        <x:v>32.427423097397956</x:v>
      </x:c>
      <x:c r="F82" s="38" t="n">
        <x:f>'Operacje'!F51/1000</x:f>
        <x:v>84.37721065951742</x:v>
      </x:c>
      <x:c r="G82" s="38" t="n">
        <x:f>'FCFF'!F25/1000</x:f>
        <x:v>-40.28961006429223</x:v>
      </x:c>
      <x:c r="H82" s="38" t="n">
        <x:f>'Operacje'!F72/1000</x:f>
        <x:v>99.71259552153167</x:v>
      </x:c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2" customHeight="1">
      <x:c r="A83" s="3"/>
      <x:c r="B83" s="3"/>
      <x:c r="C83" s="3" t="str">
        <x:v>2029E</x:v>
      </x:c>
      <x:c r="D83" s="38" t="n">
        <x:f>'Operacje'!G33/1000</x:f>
        <x:v>10.213953692385267</x:v>
      </x:c>
      <x:c r="E83" s="38" t="n">
        <x:f>'Operacje'!G20/1000</x:f>
        <x:v>39.273380899098136</x:v>
      </x:c>
      <x:c r="F83" s="38" t="n">
        <x:f>'Operacje'!G51/1000</x:f>
        <x:v>123.68490710046567</x:v>
      </x:c>
      <x:c r="G83" s="38" t="n">
        <x:f>'FCFF'!G25/1000</x:f>
        <x:v>-62.014006067336815</x:v>
      </x:c>
      <x:c r="H83" s="38" t="n">
        <x:f>'Operacje'!G72/1000</x:f>
        <x:v>143.7574644703371</x:v>
      </x:c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</x:row>
    <x:row r="84" ht="22" customHeight="1">
      <x:c r="A84" s="3"/>
      <x:c r="B84" s="3"/>
      <x:c r="C84" s="3" t="str">
        <x:v>2030E</x:v>
      </x:c>
      <x:c r="D84" s="38" t="n">
        <x:f>'Operacje'!H33/1000</x:f>
        <x:v>11.5</x:v>
      </x:c>
      <x:c r="E84" s="38" t="n">
        <x:f>'Operacje'!H20/1000</x:f>
        <x:v>47.56528063051358</x:v>
      </x:c>
      <x:c r="F84" s="38" t="n">
        <x:f>'Operacje'!H51/1000</x:f>
        <x:v>182.2771187687151</x:v>
      </x:c>
      <x:c r="G84" s="38" t="n">
        <x:f>'FCFF'!H25/1000</x:f>
        <x:v>-58.1778680290673</x:v>
      </x:c>
      <x:c r="H84" s="38" t="n">
        <x:f>'Operacje'!H72/1000</x:f>
        <x:v>171.78810047389507</x:v>
      </x:c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</x:row>
    <x:row r="85" ht="22" customHeight="1">
      <x:c r="A85" s="3"/>
      <x:c r="B85" s="3"/>
      <x:c r="C85" s="3" t="str">
        <x:v>2031E</x:v>
      </x:c>
      <x:c r="D85" s="38" t="n">
        <x:f>'Operacje'!I33/1000</x:f>
        <x:v>12.353222611199955</x:v>
      </x:c>
      <x:c r="E85" s="38" t="n">
        <x:f>'Operacje'!I20/1000</x:f>
        <x:v>53.62567392178008</x:v>
      </x:c>
      <x:c r="F85" s="38" t="n">
        <x:f>'Operacje'!I51/1000</x:f>
        <x:v>227.6527088846746</x:v>
      </x:c>
      <x:c r="G85" s="38" t="n">
        <x:f>'FCFF'!I25/1000</x:f>
        <x:v>11.016423464308172</x:v>
      </x:c>
      <x:c r="H85" s="38" t="n">
        <x:f>'Operacje'!I72/1000</x:f>
        <x:v>131.82190406249</x:v>
      </x:c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</x:row>
    <x:row r="86" ht="22" customHeight="1">
      <x:c r="A86" s="3"/>
      <x:c r="B86" s="3"/>
      <x:c r="C86" s="3" t="str">
        <x:v>2032E</x:v>
      </x:c>
      <x:c r="D86" s="38" t="n">
        <x:f>'Operacje'!J33/1000</x:f>
        <x:v>13.271405218086624</x:v>
      </x:c>
      <x:c r="E86" s="38" t="n">
        <x:f>'Operacje'!J20/1000</x:f>
        <x:v>60.07247379872231</x:v>
      </x:c>
      <x:c r="F86" s="38" t="n">
        <x:f>'Operacje'!J51/1000</x:f>
        <x:v>253.5928148524087</x:v>
      </x:c>
      <x:c r="G86" s="38" t="n">
        <x:f>'FCFF'!J25/1000</x:f>
        <x:v>17.186702539230374</x:v>
      </x:c>
      <x:c r="H86" s="38" t="n">
        <x:f>'Operacje'!J72/1000</x:f>
        <x:v>144.03591813769276</x:v>
      </x:c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</x:row>
    <x:row r="87" ht="22" customHeight="1">
      <x:c r="A87" s="3"/>
      <x:c r="B87" s="3"/>
      <x:c r="C87" s="3" t="str">
        <x:v>2033E</x:v>
      </x:c>
      <x:c r="D87" s="38" t="n">
        <x:f>'Operacje'!K33/1000</x:f>
        <x:v>14.252908813602597</x:v>
      </x:c>
      <x:c r="E87" s="38" t="n">
        <x:f>'Operacje'!K20/1000</x:f>
        <x:v>67.30735390207862</x:v>
      </x:c>
      <x:c r="F87" s="38" t="n">
        <x:f>'Operacje'!K51/1000</x:f>
        <x:v>282.5232948570857</x:v>
      </x:c>
      <x:c r="G87" s="38" t="n">
        <x:f>'FCFF'!K25/1000</x:f>
        <x:v>23.15283252617553</x:v>
      </x:c>
      <x:c r="H87" s="38" t="n">
        <x:f>'Operacje'!K72/1000</x:f>
        <x:v>157.44230726996577</x:v>
      </x:c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</x:row>
    <x:row r="88" ht="22" customHeight="1">
      <x:c r="A88" s="3"/>
      <x:c r="B88" s="3"/>
      <x:c r="C88" s="3" t="str">
        <x:v>2034E</x:v>
      </x:c>
      <x:c r="D88" s="38" t="n">
        <x:f>'Operacje'!L33/1000</x:f>
        <x:v>15.296229547961198</x:v>
      </x:c>
      <x:c r="E88" s="38" t="n">
        <x:f>'Operacje'!L20/1000</x:f>
        <x:v>75.42823289063028</x:v>
      </x:c>
      <x:c r="F88" s="38" t="n">
        <x:f>'Operacje'!L51/1000</x:f>
        <x:v>314.792939532865</x:v>
      </x:c>
      <x:c r="G88" s="38" t="n">
        <x:f>'FCFF'!L25/1000</x:f>
        <x:v>28.710152305691654</x:v>
      </x:c>
      <x:c r="H88" s="38" t="n">
        <x:f>'Operacje'!L72/1000</x:f>
        <x:v>172.1563061536895</x:v>
      </x:c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</x:row>
    <x:row r="89" ht="22" customHeight="1">
      <x:c r="A89" s="3"/>
      <x:c r="B89" s="3"/>
      <x:c r="C89" s="3" t="str">
        <x:v>2035E</x:v>
      </x:c>
      <x:c r="D89" s="38" t="n">
        <x:f>'Operacje'!M33/1000</x:f>
        <x:v>16.4</x:v>
      </x:c>
      <x:c r="E89" s="38" t="n">
        <x:f>'Operacje'!M20/1000</x:f>
        <x:v>84.54538422624346</x:v>
      </x:c>
      <x:c r="F89" s="38" t="n">
        <x:f>'Operacje'!M51/1000</x:f>
        <x:v>350.7917356178511</x:v>
      </x:c>
      <x:c r="G89" s="38" t="n">
        <x:f>'FCFF'!M25/1000</x:f>
        <x:v>45.58560870738265</x:v>
      </x:c>
      <x:c r="H89" s="38" t="n">
        <x:f>'Operacje'!M72/1000</x:f>
        <x:v>176.64058771347598</x:v>
      </x:c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</x:row>
    <x:row r="90" ht="22" customHeight="1">
      <x:c r="A90" s="3"/>
      <x:c r="B90" s="3"/>
      <x:c r="C90" s="3" t="str">
        <x:v>2036E</x:v>
      </x:c>
      <x:c r="D90" s="38" t="n">
        <x:f>'Operacje'!N33/1000</x:f>
        <x:v>16.810218675131605</x:v>
      </x:c>
      <x:c r="E90" s="38" t="n">
        <x:f>'Operacje'!N20/1000</x:f>
        <x:v>88.1174768167232</x:v>
      </x:c>
      <x:c r="F90" s="38" t="n">
        <x:f>'Operacje'!N51/1000</x:f>
        <x:v>374.6573688170587</x:v>
      </x:c>
      <x:c r="G90" s="38" t="n">
        <x:f>'FCFF'!N25/1000</x:f>
        <x:v>78.1629814933855</x:v>
      </x:c>
      <x:c r="H90" s="38" t="n">
        <x:f>'Operacje'!N72/1000</x:f>
        <x:v>157.00766880530176</x:v>
      </x:c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</x:row>
    <x:row r="91" ht="22" customHeight="1">
      <x:c r="A91" s="3"/>
      <x:c r="B91" s="3"/>
      <x:c r="C91" s="3" t="str">
        <x:v>2037E</x:v>
      </x:c>
      <x:c r="D91" s="38" t="n">
        <x:f>'Operacje'!O33/1000</x:f>
        <x:v>17.285667107076726</x:v>
      </x:c>
      <x:c r="E91" s="38" t="n">
        <x:f>'Operacje'!O20/1000</x:f>
        <x:v>91.42273740330641</x:v>
      </x:c>
      <x:c r="F91" s="38" t="n">
        <x:f>'Operacje'!O51/1000</x:f>
        <x:v>388.11166413081486</x:v>
      </x:c>
      <x:c r="G91" s="38" t="n">
        <x:f>'FCFF'!O25/1000</x:f>
        <x:v>82.71702776386357</x:v>
      </x:c>
      <x:c r="H91" s="38" t="n">
        <x:f>'Operacje'!O72/1000</x:f>
        <x:v>160.99618980217673</x:v>
      </x:c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</x:row>
    <x:row r="92" ht="22" customHeight="1">
      <x:c r="A92" s="3"/>
      <x:c r="B92" s="3"/>
      <x:c r="C92" s="3" t="str">
        <x:v>2038E</x:v>
      </x:c>
      <x:c r="D92" s="38" t="n">
        <x:f>'Operacje'!P33/1000</x:f>
        <x:v>17.761850389664534</x:v>
      </x:c>
      <x:c r="E92" s="38" t="n">
        <x:f>'Operacje'!P20/1000</x:f>
        <x:v>94.85541284980322</x:v>
      </x:c>
      <x:c r="F92" s="38" t="n">
        <x:f>'Operacje'!P51/1000</x:f>
        <x:v>402.0901245983612</x:v>
      </x:c>
      <x:c r="G92" s="38" t="n">
        <x:f>'FCFF'!P25/1000</x:f>
        <x:v>86.67271711801986</x:v>
      </x:c>
      <x:c r="H92" s="38" t="n">
        <x:f>'Operacje'!P72/1000</x:f>
        <x:v>165.0927328824002</x:v>
      </x:c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</x:row>
    <x:row r="93" ht="22" customHeight="1">
      <x:c r="A93" s="3"/>
      <x:c r="B93" s="3"/>
      <x:c r="C93" s="3" t="str">
        <x:v>2039E</x:v>
      </x:c>
      <x:c r="D93" s="38" t="n">
        <x:f>'Operacje'!Q33/1000</x:f>
        <x:v>18.239282720799906</x:v>
      </x:c>
      <x:c r="E93" s="38" t="n">
        <x:f>'Operacje'!Q20/1000</x:f>
        <x:v>98.42053745376377</x:v>
      </x:c>
      <x:c r="F93" s="38" t="n">
        <x:f>'Operacje'!Q51/1000</x:f>
        <x:v>416.6154698203908</x:v>
      </x:c>
      <x:c r="G93" s="38" t="n">
        <x:f>'FCFF'!Q25/1000</x:f>
        <x:v>90.37167751927649</x:v>
      </x:c>
      <x:c r="H93" s="38" t="n">
        <x:f>'Operacje'!Q72/1000</x:f>
        <x:v>169.3001558541751</x:v>
      </x:c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</x:row>
    <x:row r="94" ht="22" customHeight="1">
      <x:c r="A94" s="3"/>
      <x:c r="B94" s="3"/>
      <x:c r="C94" s="3" t="str">
        <x:v>2040E</x:v>
      </x:c>
      <x:c r="D94" s="38" t="n">
        <x:f>'Operacje'!R33/1000</x:f>
        <x:v>18.718487926200083</x:v>
      </x:c>
      <x:c r="E94" s="38" t="n">
        <x:f>'Operacje'!R20/1000</x:f>
        <x:v>102.12334867836718</x:v>
      </x:c>
      <x:c r="F94" s="38" t="n">
        <x:f>'Operacje'!R51/1000</x:f>
        <x:v>431.7115230280959</x:v>
      </x:c>
      <x:c r="G94" s="38" t="n">
        <x:f>'FCFF'!R25/1000</x:f>
        <x:v>93.80984191608934</x:v>
      </x:c>
      <x:c r="H94" s="38" t="n">
        <x:f>'Operacje'!R72/1000</x:f>
        <x:v>173.62139388598806</x:v>
      </x:c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</x:row>
    <x:row r="95" ht="22" customHeight="1">
      <x:c r="A95" s="3"/>
      <x:c r="B95" s="3"/>
      <x:c r="C95" s="3" t="str">
        <x:v>2041E</x:v>
      </x:c>
      <x:c r="D95" s="38" t="n">
        <x:f>'Operacje'!S33/1000</x:f>
        <x:v>19.2</x:v>
      </x:c>
      <x:c r="E95" s="38" t="n">
        <x:f>'Operacje'!S20/1000</x:f>
        <x:v>105.96929549557181</x:v>
      </x:c>
      <x:c r="F95" s="38" t="n">
        <x:f>'Operacje'!S51/1000</x:f>
        <x:v>447.4032702214825</x:v>
      </x:c>
      <x:c r="G95" s="38" t="n">
        <x:f>'FCFF'!S25/1000</x:f>
        <x:v>101.33733060855137</x:v>
      </x:c>
      <x:c r="H95" s="38" t="n">
        <x:f>'Operacje'!S72/1000</x:f>
        <x:v>174.6259200742428</x:v>
      </x:c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</x:row>
    <x:row r="96" ht="22" customHeight="1">
      <x:c r="A96" s="3"/>
      <x:c r="B96" s="3"/>
      <x:c r="C96" s="3"/>
      <x:c r="D96" s="14"/>
      <x:c r="E96" s="14"/>
      <x:c r="F96" s="14"/>
      <x:c r="G96" s="14"/>
      <x:c r="H96" s="14"/>
      <x:c r="I96" s="3"/>
      <x:c r="J96" s="3"/>
      <x:c r="K96" s="3"/>
      <x:c r="L96" s="3"/>
      <x:c r="M96" s="3"/>
      <x:c r="N96" s="3"/>
      <x:c r="O96" s="3"/>
      <x:c r="P96" s="3"/>
      <x:c r="Q96" s="3"/>
      <x:c r="R96" s="3"/>
      <x:c r="S96" s="3"/>
    </x:row>
    <x:row r="97" ht="22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  <x:c r="Q97" s="3"/>
      <x:c r="R97" s="3"/>
      <x:c r="S97" s="3"/>
    </x:row>
    <x:row r="98" ht="22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  <x:c r="Q98" s="3"/>
      <x:c r="R98" s="3"/>
      <x:c r="S98" s="3"/>
    </x:row>
    <x:row r="99" ht="22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  <x:c r="Q99" s="3"/>
      <x:c r="R99" s="3"/>
      <x:c r="S99" s="3"/>
    </x:row>
    <x:row r="100" ht="22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  <x:c r="Q100" s="3"/>
      <x:c r="R100" s="3"/>
      <x:c r="S100" s="3"/>
    </x:row>
  </x:sheetData>
  <x:conditionalFormatting sqref="I29:M33">
    <x:cfRule type="colorScale" priority="1">
      <x:colorScale>
        <x:cfvo type="min"/>
        <x:cfvo type="percentile" val="50"/>
        <x:cfvo type="max"/>
        <x:color rgb="FFFFF4ED"/>
        <x:color rgb="FFFFFFFF"/>
        <x:color rgb="FFD7E9F4"/>
      </x:colorScale>
    </x:cfRule>
  </x:conditionalFormatting>
  <x:pageMargins left="0.7" right="0.7" top="0.75" bottom="0.75" header="0.3" footer="0.3"/>
  <x:drawing xmlns:r="http://schemas.openxmlformats.org/officeDocument/2006/relationships" r:id="R63eb062fc3004aeb"/>
</x:worksheet>
</file>

<file path=xl/worksheets/sheet2.xml><?xml version="1.0" encoding="utf-8"?>
<x:worksheet xmlns:x="http://schemas.openxmlformats.org/spreadsheetml/2006/main">
  <x:sheetPr>
    <x:tabColor rgb="FF7190AE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założenia wyceny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Scenariusz (1 / 2 / 3):</x:v>
      </x:c>
      <x:c r="D4" s="22" t="n">
        <x:v>2</x:v>
      </x:c>
      <x:c r="E4" s="6" t="str">
        <x:f>CHOOSE(D4,"Pesymistyczny","Bazowy","Optymistyczny")</x:f>
        <x:v>Bazowy</x:v>
      </x:c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17" t="str">
        <x:v>Efektywna stopa podatku — aktywne</x:v>
      </x:c>
      <x:c r="D10" s="27" t="n">
        <x:f>IF(CHOOSE($D$4,ISNUMBER(D11),ISNUMBER(D12),ISNUMBER(D13)),CHOOSE($D$4,D11,D12,D13),"n.a.")</x:f>
        <x:v>0.25</x:v>
      </x:c>
      <x:c r="E10" s="3"/>
      <x:c r="F10" s="3"/>
      <x:c r="G10" s="3"/>
      <x:c r="H10" s="3"/>
      <x:c r="I10" s="3"/>
      <x:c r="J10" s="3" t="str">
        <x:v>Dane rzeczywiste: arkusz Dane. Wszystkie prognozy: analityczne założenia World Market Atlas.</x:v>
      </x:c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Pesymistyczny</x:v>
      </x:c>
      <x:c r="D11" s="28" t="n">
        <x:v>0.27</x:v>
      </x:c>
      <x:c r="E11" s="3"/>
      <x:c r="F11" s="3"/>
      <x:c r="G11" s="3"/>
      <x:c r="H11" s="3"/>
      <x:c r="I11" s="3"/>
      <x:c r="J11" s="3" t="str">
        <x:v>https://world-market-atlas.eu/?view=commentary&amp;lang=pl&amp;post=spacex-dcf-2026-10-20</x:v>
      </x:c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Bazowy</x:v>
      </x:c>
      <x:c r="D12" s="28" t="n">
        <x:v>0.25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Optymistyczny</x:v>
      </x:c>
      <x:c r="D13" s="28" t="n">
        <x:v>0.24</x:v>
      </x:c>
      <x:c r="E13" s="3"/>
      <x:c r="F13" s="3"/>
      <x:c r="G13" s="3"/>
      <x:c r="H13" s="3"/>
      <x:c r="I13" s="3"/>
      <x:c r="J13" s="3" t="str">
        <x:v>Kurs odniesienia, odrębny od daty bilansu:</x:v>
      </x:c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 t="str">
        <x:v>https://finance.yahoo.com/quote/SPCX/</x:v>
      </x:c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17" t="str">
        <x:v>NWC / zmiana przychodu run-rate — aktywne</x:v>
      </x:c>
      <x:c r="D15" s="27" t="n">
        <x:f>IF(CHOOSE($D$4,ISNUMBER(D16),ISNUMBER(D17),ISNUMBER(D18)),CHOOSE($D$4,D16,D17,D18),"n.a.")</x:f>
        <x:v>0.03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 t="str">
        <x:v>Pesymistyczny</x:v>
      </x:c>
      <x:c r="D16" s="28" t="n">
        <x:v>0.05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 t="str">
        <x:v>Bazowy</x:v>
      </x:c>
      <x:c r="D17" s="28" t="n">
        <x:v>0.03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0" customHeight="1">
      <x:c r="A18" s="3"/>
      <x:c r="B18" s="3"/>
      <x:c r="C18" s="3" t="str">
        <x:v>Optymistyczny</x:v>
      </x:c>
      <x:c r="D18" s="28" t="n">
        <x:v>0.02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0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0" customHeight="1">
      <x:c r="A20" s="3"/>
      <x:c r="B20" s="3"/>
      <x:c r="C20" s="17" t="str">
        <x:v>Stopa wolna od ryzyka (założenie) — aktywne</x:v>
      </x:c>
      <x:c r="D20" s="27" t="n">
        <x:f>IF(CHOOSE($D$4,ISNUMBER(D21),ISNUMBER(D22),ISNUMBER(D23)),CHOOSE($D$4,D21,D22,D23),"n.a.")</x:f>
        <x:v>0.051</x:v>
      </x:c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0" customHeight="1">
      <x:c r="A21" s="3"/>
      <x:c r="B21" s="3"/>
      <x:c r="C21" s="3" t="str">
        <x:v>Pesymistyczny</x:v>
      </x:c>
      <x:c r="D21" s="28" t="n">
        <x:v>0.051</x:v>
      </x:c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0" customHeight="1">
      <x:c r="A22" s="3"/>
      <x:c r="B22" s="3"/>
      <x:c r="C22" s="3" t="str">
        <x:v>Bazowy</x:v>
      </x:c>
      <x:c r="D22" s="28" t="n">
        <x:v>0.051</x:v>
      </x:c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0" customHeight="1">
      <x:c r="A23" s="3"/>
      <x:c r="B23" s="3"/>
      <x:c r="C23" s="3" t="str">
        <x:v>Optymistyczny</x:v>
      </x:c>
      <x:c r="D23" s="28" t="n">
        <x:v>0.051</x:v>
      </x:c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17" t="str">
        <x:v>Premia rynkowa (założenie) — aktywne</x:v>
      </x:c>
      <x:c r="D25" s="27" t="n">
        <x:f>IF(CHOOSE($D$4,ISNUMBER(D26),ISNUMBER(D27),ISNUMBER(D28)),CHOOSE($D$4,D26,D27,D28),"n.a.")</x:f>
        <x:v>0.05</x:v>
      </x:c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0" customHeight="1">
      <x:c r="A26" s="3"/>
      <x:c r="B26" s="3"/>
      <x:c r="C26" s="3" t="str">
        <x:v>Pesymistyczny</x:v>
      </x:c>
      <x:c r="D26" s="28" t="n">
        <x:v>0.05</x:v>
      </x:c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Bazowy</x:v>
      </x:c>
      <x:c r="D27" s="28" t="n">
        <x:v>0.05</x:v>
      </x:c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 t="str">
        <x:v>Optymistyczny</x:v>
      </x:c>
      <x:c r="D28" s="28" t="n">
        <x:v>0.05</x:v>
      </x:c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17" t="str">
        <x:v>Beta (założenie) — aktywne</x:v>
      </x:c>
      <x:c r="D30" s="29" t="n">
        <x:f>IF(CHOOSE($D$4,ISNUMBER(D31),ISNUMBER(D32),ISNUMBER(D33)),CHOOSE($D$4,D31,D32,D33),"n.a.")</x:f>
        <x:v>1.4</x:v>
      </x:c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 t="str">
        <x:v>Pesymistyczny</x:v>
      </x:c>
      <x:c r="D31" s="30" t="n">
        <x:v>1.8</x:v>
      </x:c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 t="str">
        <x:v>Bazowy</x:v>
      </x:c>
      <x:c r="D32" s="30" t="n">
        <x:v>1.4</x:v>
      </x:c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 t="str">
        <x:v>Optymistyczny</x:v>
      </x:c>
      <x:c r="D33" s="30" t="n">
        <x:v>1.1</x:v>
      </x:c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17" t="str">
        <x:v>Koszt długu przed podatkiem — aktywne</x:v>
      </x:c>
      <x:c r="D35" s="27" t="n">
        <x:f>IF(CHOOSE($D$4,ISNUMBER(D36),ISNUMBER(D37),ISNUMBER(D38)),CHOOSE($D$4,D36,D37,D38),"n.a.")</x:f>
        <x:v>0.08</x:v>
      </x:c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 t="str">
        <x:v>Pesymistyczny</x:v>
      </x:c>
      <x:c r="D36" s="28" t="n">
        <x:v>0.1</x:v>
      </x:c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 t="str">
        <x:v>Bazowy</x:v>
      </x:c>
      <x:c r="D37" s="28" t="n">
        <x:v>0.08</x:v>
      </x:c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 t="str">
        <x:v>Optymistyczny</x:v>
      </x:c>
      <x:c r="D38" s="28" t="n">
        <x:v>0.07</x:v>
      </x:c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17" t="str">
        <x:v>Wzrost terminalny g — aktywne</x:v>
      </x:c>
      <x:c r="D40" s="27" t="n">
        <x:f>IF(CHOOSE($D$4,ISNUMBER(D41),ISNUMBER(D42),ISNUMBER(D43)),CHOOSE($D$4,D41,D42,D43),"n.a.")</x:f>
        <x:v>0.03</x:v>
      </x:c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 t="str">
        <x:v>Pesymistyczny</x:v>
      </x:c>
      <x:c r="D41" s="28" t="n">
        <x:v>0.02</x:v>
      </x:c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 t="str">
        <x:v>Bazowy</x:v>
      </x:c>
      <x:c r="D42" s="28" t="n">
        <x:v>0.03</x:v>
      </x:c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 t="str">
        <x:v>Optymistyczny</x:v>
      </x:c>
      <x:c r="D43" s="28" t="n">
        <x:v>0.035</x:v>
      </x:c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17" t="str">
        <x:v>Terminalny ROIC — aktywne</x:v>
      </x:c>
      <x:c r="D45" s="27" t="n">
        <x:f>IF(CHOOSE($D$4,ISNUMBER(D46),ISNUMBER(D47),ISNUMBER(D48)),CHOOSE($D$4,D46,D47,D48),"n.a.")</x:f>
        <x:v>0.14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 t="str">
        <x:v>Pesymistyczny</x:v>
      </x:c>
      <x:c r="D46" s="28" t="n">
        <x:v>0.1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 t="str">
        <x:v>Bazowy</x:v>
      </x:c>
      <x:c r="D47" s="28" t="n">
        <x:v>0.14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 t="str">
        <x:v>Optymistyczny</x:v>
      </x:c>
      <x:c r="D48" s="28" t="n">
        <x:v>0.2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0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0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0" customHeight="1">
      <x:c r="A53" s="3"/>
      <x:c r="B53" s="3"/>
      <x:c r="C53" s="17" t="str">
        <x:v>Linie konsumenckie na koniec (mln) — aktywne</x:v>
      </x:c>
      <x:c r="D53" s="32" t="n">
        <x:f>IF(CHOOSE($D$4,ISNUMBER(D54),ISNUMBER(D55),ISNUMBER(D56)),CHOOSE($D$4,D54,D55,D56),"n.a.")</x:f>
        <x:v>15.5</x:v>
      </x:c>
      <x:c r="E53" s="32" t="n">
        <x:f>IF(CHOOSE($D$4,ISNUMBER(E54),ISNUMBER(E55),ISNUMBER(E56)),CHOOSE($D$4,E54,E55,E56),"n.a.")</x:f>
        <x:v>19.000533036323365</x:v>
      </x:c>
      <x:c r="F53" s="32" t="n">
        <x:f>IF(CHOOSE($D$4,ISNUMBER(F54),ISNUMBER(F55),ISNUMBER(F56)),CHOOSE($D$4,F54,F55,F56),"n.a.")</x:f>
        <x:v>23.29162939770423</x:v>
      </x:c>
      <x:c r="G53" s="32" t="n">
        <x:f>IF(CHOOSE($D$4,ISNUMBER(G54),ISNUMBER(G55),ISNUMBER(G56)),CHOOSE($D$4,G54,G55,G56),"n.a.")</x:f>
        <x:v>28.551830570379337</x:v>
      </x:c>
      <x:c r="H53" s="32" t="n">
        <x:f>IF(CHOOSE($D$4,ISNUMBER(H54),ISNUMBER(H55),ISNUMBER(H56)),CHOOSE($D$4,H54,H55,H56),"n.a.")</x:f>
        <x:v>35</x:v>
      </x:c>
      <x:c r="I53" s="32" t="n">
        <x:f>IF(CHOOSE($D$4,ISNUMBER(I54),ISNUMBER(I55),ISNUMBER(I56)),CHOOSE($D$4,I54,I55,I56),"n.a.")</x:f>
        <x:v>38.983846251100765</x:v>
      </x:c>
      <x:c r="J53" s="32" t="n">
        <x:f>IF(CHOOSE($D$4,ISNUMBER(J54),ISNUMBER(J55),ISNUMBER(J56)),CHOOSE($D$4,J54,J55,J56),"n.a.")</x:f>
        <x:v>43.42115052941323</x:v>
      </x:c>
      <x:c r="K53" s="32" t="n">
        <x:f>IF(CHOOSE($D$4,ISNUMBER(K54),ISNUMBER(K55),ISNUMBER(K56)),CHOOSE($D$4,K54,K55,K56),"n.a.")</x:f>
        <x:v>48.363527322415656</x:v>
      </x:c>
      <x:c r="L53" s="32" t="n">
        <x:f>IF(CHOOSE($D$4,ISNUMBER(L54),ISNUMBER(L55),ISNUMBER(L56)),CHOOSE($D$4,L54,L55,L56),"n.a.")</x:f>
        <x:v>53.868466094227514</x:v>
      </x:c>
      <x:c r="M53" s="32" t="n">
        <x:f>IF(CHOOSE($D$4,ISNUMBER(M54),ISNUMBER(M55),ISNUMBER(M56)),CHOOSE($D$4,M54,M55,M56),"n.a.")</x:f>
        <x:v>60</x:v>
      </x:c>
      <x:c r="N53" s="32" t="n">
        <x:f>IF(CHOOSE($D$4,ISNUMBER(N54),ISNUMBER(N55),ISNUMBER(N56)),CHOOSE($D$4,N54,N55,N56),"n.a.")</x:f>
        <x:v>62.94690380529889</x:v>
      </x:c>
      <x:c r="O53" s="32" t="n">
        <x:f>IF(CHOOSE($D$4,ISNUMBER(O54),ISNUMBER(O55),ISNUMBER(O56)),CHOOSE($D$4,O54,O55,O56),"n.a.")</x:f>
        <x:v>66.03854497789254</x:v>
      </x:c>
      <x:c r="P53" s="32" t="n">
        <x:f>IF(CHOOSE($D$4,ISNUMBER(P54),ISNUMBER(P55),ISNUMBER(P56)),CHOOSE($D$4,P54,P55,P56),"n.a.")</x:f>
        <x:v>69.28203230275508</x:v>
      </x:c>
      <x:c r="Q53" s="32" t="n">
        <x:f>IF(CHOOSE($D$4,ISNUMBER(Q54),ISNUMBER(Q55),ISNUMBER(Q56)),CHOOSE($D$4,Q54,Q55,Q56),"n.a.")</x:f>
        <x:v>72.68482371328558</x:v>
      </x:c>
      <x:c r="R53" s="32" t="n">
        <x:f>IF(CHOOSE($D$4,ISNUMBER(R54),ISNUMBER(R55),ISNUMBER(R56)),CHOOSE($D$4,R54,R55,R56),"n.a.")</x:f>
        <x:v>76.25474343975493</x:v>
      </x:c>
      <x:c r="S53" s="32" t="n">
        <x:f>IF(CHOOSE($D$4,ISNUMBER(S54),ISNUMBER(S55),ISNUMBER(S56)),CHOOSE($D$4,S54,S55,S56),"n.a.")</x:f>
        <x:v>80</x:v>
      </x:c>
    </x:row>
    <x:row r="54" ht="20" customHeight="1">
      <x:c r="A54" s="3"/>
      <x:c r="B54" s="3"/>
      <x:c r="C54" s="3" t="str">
        <x:v>Pesymistyczny</x:v>
      </x:c>
      <x:c r="D54" s="33" t="n">
        <x:v>15</x:v>
      </x:c>
      <x:c r="E54" s="33" t="n">
        <x:v>17.04329049701249</x:v>
      </x:c>
      <x:c r="F54" s="33" t="n">
        <x:v>19.364916731037084</x:v>
      </x:c>
      <x:c r="G54" s="33" t="n">
        <x:v>22.002793419834834</x:v>
      </x:c>
      <x:c r="H54" s="33" t="n">
        <x:v>25</x:v>
      </x:c>
      <x:c r="I54" s="33" t="n">
        <x:v>26.74025939312672</x:v>
      </x:c>
      <x:c r="J54" s="33" t="n">
        <x:v>28.601658896468074</x:v>
      </x:c>
      <x:c r="K54" s="33" t="n">
        <x:v>30.592631118611475</x:v>
      </x:c>
      <x:c r="L54" s="33" t="n">
        <x:v>32.72219566519645</x:v>
      </x:c>
      <x:c r="M54" s="33" t="n">
        <x:v>35</x:v>
      </x:c>
      <x:c r="N54" s="33" t="n">
        <x:v>36.07986623102556</x:v>
      </x:c>
      <x:c r="O54" s="33" t="n">
        <x:v>37.19304992139139</x:v>
      </x:c>
      <x:c r="P54" s="33" t="n">
        <x:v>38.34057902536163</x:v>
      </x:c>
      <x:c r="Q54" s="33" t="n">
        <x:v>39.52351321300319</x:v>
      </x:c>
      <x:c r="R54" s="33" t="n">
        <x:v>40.74294484872362</x:v>
      </x:c>
      <x:c r="S54" s="33" t="n">
        <x:v>42</x:v>
      </x:c>
    </x:row>
    <x:row r="55" ht="20" customHeight="1">
      <x:c r="A55" s="3"/>
      <x:c r="B55" s="3"/>
      <x:c r="C55" s="3" t="str">
        <x:v>Bazowy</x:v>
      </x:c>
      <x:c r="D55" s="33" t="n">
        <x:v>15.5</x:v>
      </x:c>
      <x:c r="E55" s="33" t="n">
        <x:v>19.000533036323365</x:v>
      </x:c>
      <x:c r="F55" s="33" t="n">
        <x:v>23.29162939770423</x:v>
      </x:c>
      <x:c r="G55" s="33" t="n">
        <x:v>28.551830570379337</x:v>
      </x:c>
      <x:c r="H55" s="33" t="n">
        <x:v>35</x:v>
      </x:c>
      <x:c r="I55" s="33" t="n">
        <x:v>38.983846251100765</x:v>
      </x:c>
      <x:c r="J55" s="33" t="n">
        <x:v>43.42115052941323</x:v>
      </x:c>
      <x:c r="K55" s="33" t="n">
        <x:v>48.363527322415656</x:v>
      </x:c>
      <x:c r="L55" s="33" t="n">
        <x:v>53.868466094227514</x:v>
      </x:c>
      <x:c r="M55" s="33" t="n">
        <x:v>60</x:v>
      </x:c>
      <x:c r="N55" s="33" t="n">
        <x:v>62.94690380529889</x:v>
      </x:c>
      <x:c r="O55" s="33" t="n">
        <x:v>66.03854497789254</x:v>
      </x:c>
      <x:c r="P55" s="33" t="n">
        <x:v>69.28203230275508</x:v>
      </x:c>
      <x:c r="Q55" s="33" t="n">
        <x:v>72.68482371328558</x:v>
      </x:c>
      <x:c r="R55" s="33" t="n">
        <x:v>76.25474343975493</x:v>
      </x:c>
      <x:c r="S55" s="33" t="n">
        <x:v>80</x:v>
      </x:c>
    </x:row>
    <x:row r="56" ht="20" customHeight="1">
      <x:c r="A56" s="3"/>
      <x:c r="B56" s="3"/>
      <x:c r="C56" s="3" t="str">
        <x:v>Optymistyczny</x:v>
      </x:c>
      <x:c r="D56" s="33" t="n">
        <x:v>16</x:v>
      </x:c>
      <x:c r="E56" s="33" t="n">
        <x:v>20.72016051289081</x:v>
      </x:c>
      <x:c r="F56" s="33" t="n">
        <x:v>26.832815729997478</x:v>
      </x:c>
      <x:c r="G56" s="33" t="n">
        <x:v>34.748765558648074</x:v>
      </x:c>
      <x:c r="H56" s="33" t="n">
        <x:v>45</x:v>
      </x:c>
      <x:c r="I56" s="33" t="n">
        <x:v>51.69142597486658</x:v>
      </x:c>
      <x:c r="J56" s="33" t="n">
        <x:v>59.37785598478024</x:v>
      </x:c>
      <x:c r="K56" s="33" t="n">
        <x:v>68.20724549296791</x:v>
      </x:c>
      <x:c r="L56" s="33" t="n">
        <x:v>78.34955069665116</x:v>
      </x:c>
      <x:c r="M56" s="33" t="n">
        <x:v>90</x:v>
      </x:c>
      <x:c r="N56" s="33" t="n">
        <x:v>95.06495056596458</x:v>
      </x:c>
      <x:c r="O56" s="33" t="n">
        <x:v>100.41494251232542</x:v>
      </x:c>
      <x:c r="P56" s="33" t="n">
        <x:v>106.06601717798213</x:v>
      </x:c>
      <x:c r="Q56" s="33" t="n">
        <x:v>112.03511866392911</x:v>
      </x:c>
      <x:c r="R56" s="33" t="n">
        <x:v>118.3401446382044</x:v>
      </x:c>
      <x:c r="S56" s="33" t="n">
        <x:v>125</x:v>
      </x:c>
    </x:row>
    <x:row r="57" ht="20" customHeight="1">
      <x:c r="A57" s="3"/>
      <x:c r="B57" s="3"/>
      <x:c r="C57" s="17" t="str">
        <x:v>ARPU miesięczny (USD) — aktywne</x:v>
      </x:c>
      <x:c r="D57" s="32" t="n">
        <x:f>IF(CHOOSE($D$4,ISNUMBER(D58),ISNUMBER(D59),ISNUMBER(D60)),CHOOSE($D$4,D58,D59,D60),"n.a.")</x:f>
        <x:v>68</x:v>
      </x:c>
      <x:c r="E57" s="32" t="n">
        <x:f>IF(CHOOSE($D$4,ISNUMBER(E58),ISNUMBER(E59),ISNUMBER(E60)),CHOOSE($D$4,E58,E59,E60),"n.a.")</x:f>
        <x:v>66.97715222874152</x:v>
      </x:c>
      <x:c r="F57" s="32" t="n">
        <x:f>IF(CHOOSE($D$4,ISNUMBER(F58),ISNUMBER(F59),ISNUMBER(F60)),CHOOSE($D$4,F58,F59,F60),"n.a.")</x:f>
        <x:v>65.96969000988257</x:v>
      </x:c>
      <x:c r="G57" s="32" t="n">
        <x:f>IF(CHOOSE($D$4,ISNUMBER(G58),ISNUMBER(G59),ISNUMBER(G60)),CHOOSE($D$4,G58,G59,G60),"n.a.")</x:f>
        <x:v>64.97738191580578</x:v>
      </x:c>
      <x:c r="H57" s="32" t="n">
        <x:f>IF(CHOOSE($D$4,ISNUMBER(H58),ISNUMBER(H59),ISNUMBER(H60)),CHOOSE($D$4,H58,H59,H60),"n.a.")</x:f>
        <x:v>64</x:v>
      </x:c>
      <x:c r="I57" s="32" t="n">
        <x:f>IF(CHOOSE($D$4,ISNUMBER(I58),ISNUMBER(I59),ISNUMBER(I60)),CHOOSE($D$4,I58,I59,I60),"n.a.")</x:f>
        <x:v>63.59490414926265</x:v>
      </x:c>
      <x:c r="J57" s="32" t="n">
        <x:f>IF(CHOOSE($D$4,ISNUMBER(J58),ISNUMBER(J59),ISNUMBER(J60)),CHOOSE($D$4,J58,J59,J60),"n.a.")</x:f>
        <x:v>63.19237240240476</x:v>
      </x:c>
      <x:c r="K57" s="32" t="n">
        <x:f>IF(CHOOSE($D$4,ISNUMBER(K58),ISNUMBER(K59),ISNUMBER(K60)),CHOOSE($D$4,K58,K59,K60),"n.a.")</x:f>
        <x:v>62.79238852961627</x:v>
      </x:c>
      <x:c r="L57" s="32" t="n">
        <x:f>IF(CHOOSE($D$4,ISNUMBER(L58),ISNUMBER(L59),ISNUMBER(L60)),CHOOSE($D$4,L58,L59,L60),"n.a.")</x:f>
        <x:v>62.39493640381572</x:v>
      </x:c>
      <x:c r="M57" s="32" t="n">
        <x:f>IF(CHOOSE($D$4,ISNUMBER(M58),ISNUMBER(M59),ISNUMBER(M60)),CHOOSE($D$4,M58,M59,M60),"n.a.")</x:f>
        <x:v>62</x:v>
      </x:c>
      <x:c r="N57" s="32" t="n">
        <x:f>IF(CHOOSE($D$4,ISNUMBER(N58),ISNUMBER(N59),ISNUMBER(N60)),CHOOSE($D$4,N58,N59,N60),"n.a.")</x:f>
        <x:v>61.662095989532226</x:v>
      </x:c>
      <x:c r="O57" s="32" t="n">
        <x:f>IF(CHOOSE($D$4,ISNUMBER(O58),ISNUMBER(O59),ISNUMBER(O60)),CHOOSE($D$4,O58,O59,O60),"n.a.")</x:f>
        <x:v>61.3260335777788</x:v>
      </x:c>
      <x:c r="P57" s="32" t="n">
        <x:f>IF(CHOOSE($D$4,ISNUMBER(P58),ISNUMBER(P59),ISNUMBER(P60)),CHOOSE($D$4,P58,P59,P60),"n.a.")</x:f>
        <x:v>60.991802727907626</x:v>
      </x:c>
      <x:c r="Q57" s="32" t="n">
        <x:f>IF(CHOOSE($D$4,ISNUMBER(Q58),ISNUMBER(Q59),ISNUMBER(Q60)),CHOOSE($D$4,Q58,Q59,Q60),"n.a.")</x:f>
        <x:v>60.65939345778796</x:v>
      </x:c>
      <x:c r="R57" s="32" t="n">
        <x:f>IF(CHOOSE($D$4,ISNUMBER(R58),ISNUMBER(R59),ISNUMBER(R60)),CHOOSE($D$4,R58,R59,R60),"n.a.")</x:f>
        <x:v>60.328795839692326</x:v>
      </x:c>
      <x:c r="S57" s="32" t="n">
        <x:f>IF(CHOOSE($D$4,ISNUMBER(S58),ISNUMBER(S59),ISNUMBER(S60)),CHOOSE($D$4,S58,S59,S60),"n.a.")</x:f>
        <x:v>60</x:v>
      </x:c>
    </x:row>
    <x:row r="58" ht="20" customHeight="1">
      <x:c r="A58" s="3"/>
      <x:c r="B58" s="3"/>
      <x:c r="C58" s="3" t="str">
        <x:v>Pesymistyczny</x:v>
      </x:c>
      <x:c r="D58" s="33" t="n">
        <x:v>65</x:v>
      </x:c>
      <x:c r="E58" s="33" t="n">
        <x:v>60.87339428331723</x:v>
      </x:c>
      <x:c r="F58" s="33" t="n">
        <x:v>57.0087712549569</x:v>
      </x:c>
      <x:c r="G58" s="33" t="n">
        <x:v>53.38949861862204</x:v>
      </x:c>
      <x:c r="H58" s="33" t="n">
        <x:v>50</x:v>
      </x:c>
      <x:c r="I58" s="33" t="n">
        <x:v>49.38505878420735</x:v>
      </x:c>
      <x:c r="J58" s="33" t="n">
        <x:v>48.77768062239232</x:v>
      </x:c>
      <x:c r="K58" s="33" t="n">
        <x:v>48.17777249788273</x:v>
      </x:c>
      <x:c r="L58" s="33" t="n">
        <x:v>47.585242538002134</x:v>
      </x:c>
      <x:c r="M58" s="33" t="n">
        <x:v>47</x:v>
      </x:c>
      <x:c r="N58" s="33" t="n">
        <x:v>46.66059801986291</x:v>
      </x:c>
      <x:c r="O58" s="33" t="n">
        <x:v>46.32364696960074</x:v>
      </x:c>
      <x:c r="P58" s="33" t="n">
        <x:v>45.98912915026767</x:v>
      </x:c>
      <x:c r="Q58" s="33" t="n">
        <x:v>45.65702699072765</x:v>
      </x:c>
      <x:c r="R58" s="33" t="n">
        <x:v>45.327323046731365</x:v>
      </x:c>
      <x:c r="S58" s="33" t="n">
        <x:v>45</x:v>
      </x:c>
    </x:row>
    <x:row r="59" ht="20" customHeight="1">
      <x:c r="A59" s="3"/>
      <x:c r="B59" s="3"/>
      <x:c r="C59" s="3" t="str">
        <x:v>Bazowy</x:v>
      </x:c>
      <x:c r="D59" s="33" t="n">
        <x:v>68</x:v>
      </x:c>
      <x:c r="E59" s="33" t="n">
        <x:v>66.97715222874152</x:v>
      </x:c>
      <x:c r="F59" s="33" t="n">
        <x:v>65.96969000988257</x:v>
      </x:c>
      <x:c r="G59" s="33" t="n">
        <x:v>64.97738191580578</x:v>
      </x:c>
      <x:c r="H59" s="33" t="n">
        <x:v>64</x:v>
      </x:c>
      <x:c r="I59" s="33" t="n">
        <x:v>63.59490414926265</x:v>
      </x:c>
      <x:c r="J59" s="33" t="n">
        <x:v>63.19237240240476</x:v>
      </x:c>
      <x:c r="K59" s="33" t="n">
        <x:v>62.79238852961627</x:v>
      </x:c>
      <x:c r="L59" s="33" t="n">
        <x:v>62.39493640381572</x:v>
      </x:c>
      <x:c r="M59" s="33" t="n">
        <x:v>62</x:v>
      </x:c>
      <x:c r="N59" s="33" t="n">
        <x:v>61.662095989532226</x:v>
      </x:c>
      <x:c r="O59" s="33" t="n">
        <x:v>61.3260335777788</x:v>
      </x:c>
      <x:c r="P59" s="33" t="n">
        <x:v>60.991802727907626</x:v>
      </x:c>
      <x:c r="Q59" s="33" t="n">
        <x:v>60.65939345778796</x:v>
      </x:c>
      <x:c r="R59" s="33" t="n">
        <x:v>60.328795839692326</x:v>
      </x:c>
      <x:c r="S59" s="33" t="n">
        <x:v>60</x:v>
      </x:c>
    </x:row>
    <x:row r="60" ht="20" customHeight="1">
      <x:c r="A60" s="3"/>
      <x:c r="B60" s="3"/>
      <x:c r="C60" s="3" t="str">
        <x:v>Optymistyczny</x:v>
      </x:c>
      <x:c r="D60" s="33" t="n">
        <x:v>72</x:v>
      </x:c>
      <x:c r="E60" s="33" t="n">
        <x:v>72</x:v>
      </x:c>
      <x:c r="F60" s="33" t="n">
        <x:v>72</x:v>
      </x:c>
      <x:c r="G60" s="33" t="n">
        <x:v>72</x:v>
      </x:c>
      <x:c r="H60" s="33" t="n">
        <x:v>72</x:v>
      </x:c>
      <x:c r="I60" s="33" t="n">
        <x:v>72</x:v>
      </x:c>
      <x:c r="J60" s="33" t="n">
        <x:v>72</x:v>
      </x:c>
      <x:c r="K60" s="33" t="n">
        <x:v>72</x:v>
      </x:c>
      <x:c r="L60" s="33" t="n">
        <x:v>72</x:v>
      </x:c>
      <x:c r="M60" s="33" t="n">
        <x:v>72</x:v>
      </x:c>
      <x:c r="N60" s="33" t="n">
        <x:v>71.6627418341452</x:v>
      </x:c>
      <x:c r="O60" s="33" t="n">
        <x:v>71.32706343315755</x:v>
      </x:c>
      <x:c r="P60" s="33" t="n">
        <x:v>70.9929573971954</x:v>
      </x:c>
      <x:c r="Q60" s="33" t="n">
        <x:v>70.66041636107892</x:v>
      </x:c>
      <x:c r="R60" s="33" t="n">
        <x:v>70.32943299412788</x:v>
      </x:c>
      <x:c r="S60" s="33" t="n">
        <x:v>70</x:v>
      </x:c>
    </x:row>
    <x:row r="61" ht="20" customHeight="1">
      <x:c r="A61" s="3"/>
      <x:c r="B61" s="3"/>
      <x:c r="C61" s="17" t="str">
        <x:v>Enterprise i government (USD mln/rok) — aktywne</x:v>
      </x:c>
      <x:c r="D61" s="32" t="n">
        <x:f>IF(CHOOSE($D$4,ISNUMBER(D62),ISNUMBER(D63),ISNUMBER(D64)),CHOOSE($D$4,D62,D63,D64),"n.a.")</x:f>
        <x:v>9600</x:v>
      </x:c>
      <x:c r="E61" s="32" t="n">
        <x:f>IF(CHOOSE($D$4,ISNUMBER(E62),ISNUMBER(E63),ISNUMBER(E64)),CHOOSE($D$4,E62,E63,E64),"n.a.")</x:f>
        <x:v>11675.03653966938</x:v>
      </x:c>
      <x:c r="F61" s="32" t="n">
        <x:f>IF(CHOOSE($D$4,ISNUMBER(F62),ISNUMBER(F63),ISNUMBER(F64)),CHOOSE($D$4,F62,F63,F64),"n.a.")</x:f>
        <x:v>14198.59147943908</x:v>
      </x:c>
      <x:c r="G61" s="32" t="n">
        <x:f>IF(CHOOSE($D$4,ISNUMBER(G62),ISNUMBER(G63),ISNUMBER(G64)),CHOOSE($D$4,G62,G63,G64),"n.a.")</x:f>
        <x:v>17267.61190982183</x:v>
      </x:c>
      <x:c r="H61" s="32" t="n">
        <x:f>IF(CHOOSE($D$4,ISNUMBER(H62),ISNUMBER(H63),ISNUMBER(H64)),CHOOSE($D$4,H62,H63,H64),"n.a.")</x:f>
        <x:v>21000</x:v>
      </x:c>
      <x:c r="I61" s="32" t="n">
        <x:f>IF(CHOOSE($D$4,ISNUMBER(I62),ISNUMBER(I63),ISNUMBER(I64)),CHOOSE($D$4,I62,I63,I64),"n.a.")</x:f>
        <x:v>23888.420437389545</x:v>
      </x:c>
      <x:c r="J61" s="32" t="n">
        <x:f>IF(CHOOSE($D$4,ISNUMBER(J62),ISNUMBER(J63),ISNUMBER(J64)),CHOOSE($D$4,J62,J63,J64),"n.a.")</x:f>
        <x:v>27174.1252854043</x:v>
      </x:c>
      <x:c r="K61" s="32" t="n">
        <x:f>IF(CHOOSE($D$4,ISNUMBER(K62),ISNUMBER(K63),ISNUMBER(K64)),CHOOSE($D$4,K62,K63,K64),"n.a.")</x:f>
        <x:v>30911.758563620762</x:v>
      </x:c>
      <x:c r="L61" s="32" t="n">
        <x:f>IF(CHOOSE($D$4,ISNUMBER(L62),ISNUMBER(L63),ISNUMBER(L64)),CHOOSE($D$4,L62,L63,L64),"n.a.")</x:f>
        <x:v>35163.480239373785</x:v>
      </x:c>
      <x:c r="M61" s="32" t="n">
        <x:f>IF(CHOOSE($D$4,ISNUMBER(M62),ISNUMBER(M63),ISNUMBER(M64)),CHOOSE($D$4,M62,M63,M64),"n.a.")</x:f>
        <x:v>40000</x:v>
      </x:c>
      <x:c r="N61" s="32" t="n">
        <x:f>IF(CHOOSE($D$4,ISNUMBER(N62),ISNUMBER(N63),ISNUMBER(N64)),CHOOSE($D$4,N62,N63,N64),"n.a.")</x:f>
        <x:v>41234.132835457785</x:v>
      </x:c>
      <x:c r="O61" s="32" t="n">
        <x:f>IF(CHOOSE($D$4,ISNUMBER(O62),ISNUMBER(O63),ISNUMBER(O64)),CHOOSE($D$4,O62,O63,O64),"n.a.")</x:f>
        <x:v>42506.34276730444</x:v>
      </x:c>
      <x:c r="P61" s="32" t="n">
        <x:f>IF(CHOOSE($D$4,ISNUMBER(P62),ISNUMBER(P63),ISNUMBER(P64)),CHOOSE($D$4,P62,P63,P64),"n.a.")</x:f>
        <x:v>43817.804600413285</x:v>
      </x:c>
      <x:c r="Q61" s="32" t="n">
        <x:f>IF(CHOOSE($D$4,ISNUMBER(Q62),ISNUMBER(Q63),ISNUMBER(Q64)),CHOOSE($D$4,Q62,Q63,Q64),"n.a.")</x:f>
        <x:v>45169.729386289364</x:v>
      </x:c>
      <x:c r="R61" s="32" t="n">
        <x:f>IF(CHOOSE($D$4,ISNUMBER(R62),ISNUMBER(R63),ISNUMBER(R64)),CHOOSE($D$4,R62,R63,R64),"n.a.")</x:f>
        <x:v>46563.36554139842</x:v>
      </x:c>
      <x:c r="S61" s="32" t="n">
        <x:f>IF(CHOOSE($D$4,ISNUMBER(S62),ISNUMBER(S63),ISNUMBER(S64)),CHOOSE($D$4,S62,S63,S64),"n.a.")</x:f>
        <x:v>48000</x:v>
      </x:c>
    </x:row>
    <x:row r="62" ht="20" customHeight="1">
      <x:c r="A62" s="3"/>
      <x:c r="B62" s="3"/>
      <x:c r="C62" s="3" t="str">
        <x:v>Pesymistyczny</x:v>
      </x:c>
      <x:c r="D62" s="33" t="n">
        <x:v>8800</x:v>
      </x:c>
      <x:c r="E62" s="33" t="n">
        <x:v>9883.11873628976</x:v>
      </x:c>
      <x:c r="F62" s="33" t="n">
        <x:v>11099.549540409285</x:v>
      </x:c>
      <x:c r="G62" s="33" t="n">
        <x:v>12465.70068490857</x:v>
      </x:c>
      <x:c r="H62" s="33" t="n">
        <x:v>14000</x:v>
      </x:c>
      <x:c r="I62" s="33" t="n">
        <x:v>15324.522979124205</x:v>
      </x:c>
      <x:c r="J62" s="33" t="n">
        <x:v>16774.357466978985</x:v>
      </x:c>
      <x:c r="K62" s="33" t="n">
        <x:v>18361.359033054512</x:v>
      </x:c>
      <x:c r="L62" s="33" t="n">
        <x:v>20098.504887856692</x:v>
      </x:c>
      <x:c r="M62" s="33" t="n">
        <x:v>22000</x:v>
      </x:c>
      <x:c r="N62" s="33" t="n">
        <x:v>22763.875133544807</x:v>
      </x:c>
      <x:c r="O62" s="33" t="n">
        <x:v>23554.27323161907</x:v>
      </x:c>
      <x:c r="P62" s="33" t="n">
        <x:v>24372.11521390788</x:v>
      </x:c>
      <x:c r="Q62" s="33" t="n">
        <x:v>25218.353975898484</x:v>
      </x:c>
      <x:c r="R62" s="33" t="n">
        <x:v>26093.975499131193</x:v>
      </x:c>
      <x:c r="S62" s="33" t="n">
        <x:v>27000</x:v>
      </x:c>
    </x:row>
    <x:row r="63" ht="20" customHeight="1">
      <x:c r="A63" s="3"/>
      <x:c r="B63" s="3"/>
      <x:c r="C63" s="3" t="str">
        <x:v>Bazowy</x:v>
      </x:c>
      <x:c r="D63" s="33" t="n">
        <x:v>9600</x:v>
      </x:c>
      <x:c r="E63" s="33" t="n">
        <x:v>11675.03653966938</x:v>
      </x:c>
      <x:c r="F63" s="33" t="n">
        <x:v>14198.59147943908</x:v>
      </x:c>
      <x:c r="G63" s="33" t="n">
        <x:v>17267.61190982183</x:v>
      </x:c>
      <x:c r="H63" s="33" t="n">
        <x:v>21000</x:v>
      </x:c>
      <x:c r="I63" s="33" t="n">
        <x:v>23888.420437389545</x:v>
      </x:c>
      <x:c r="J63" s="33" t="n">
        <x:v>27174.1252854043</x:v>
      </x:c>
      <x:c r="K63" s="33" t="n">
        <x:v>30911.758563620762</x:v>
      </x:c>
      <x:c r="L63" s="33" t="n">
        <x:v>35163.480239373785</x:v>
      </x:c>
      <x:c r="M63" s="33" t="n">
        <x:v>40000</x:v>
      </x:c>
      <x:c r="N63" s="33" t="n">
        <x:v>41234.132835457785</x:v>
      </x:c>
      <x:c r="O63" s="33" t="n">
        <x:v>42506.34276730444</x:v>
      </x:c>
      <x:c r="P63" s="33" t="n">
        <x:v>43817.804600413285</x:v>
      </x:c>
      <x:c r="Q63" s="33" t="n">
        <x:v>45169.729386289364</x:v>
      </x:c>
      <x:c r="R63" s="33" t="n">
        <x:v>46563.36554139842</x:v>
      </x:c>
      <x:c r="S63" s="33" t="n">
        <x:v>48000</x:v>
      </x:c>
    </x:row>
    <x:row r="64" ht="20" customHeight="1">
      <x:c r="A64" s="3"/>
      <x:c r="B64" s="3"/>
      <x:c r="C64" s="3" t="str">
        <x:v>Optymistyczny</x:v>
      </x:c>
      <x:c r="D64" s="33" t="n">
        <x:v>10400</x:v>
      </x:c>
      <x:c r="E64" s="33" t="n">
        <x:v>13553.620402668033</x:v>
      </x:c>
      <x:c r="F64" s="33" t="n">
        <x:v>17663.521732655696</x:v>
      </x:c>
      <x:c r="G64" s="33" t="n">
        <x:v>23019.679667181965</x:v>
      </x:c>
      <x:c r="H64" s="33" t="n">
        <x:v>30000</x:v>
      </x:c>
      <x:c r="I64" s="33" t="n">
        <x:v>34460.95064991105</x:v>
      </x:c>
      <x:c r="J64" s="33" t="n">
        <x:v>39585.237323186826</x:v>
      </x:c>
      <x:c r="K64" s="33" t="n">
        <x:v>45471.496995311936</x:v>
      </x:c>
      <x:c r="L64" s="33" t="n">
        <x:v>52233.03379776745</x:v>
      </x:c>
      <x:c r="M64" s="33" t="n">
        <x:v>60000</x:v>
      </x:c>
      <x:c r="N64" s="33" t="n">
        <x:v>63586.149910835135</x:v>
      </x:c>
      <x:c r="O64" s="33" t="n">
        <x:v>67386.64100805332</x:v>
      </x:c>
      <x:c r="P64" s="33" t="n">
        <x:v>71414.2842854285</x:v>
      </x:c>
      <x:c r="Q64" s="33" t="n">
        <x:v>75682.65643913759</x:v>
      </x:c>
      <x:c r="R64" s="33" t="n">
        <x:v>80206.14563315392</x:v>
      </x:c>
      <x:c r="S64" s="33" t="n">
        <x:v>85000</x:v>
      </x:c>
    </x:row>
    <x:row r="65" ht="20" customHeight="1">
      <x:c r="A65" s="3"/>
      <x:c r="B65" s="3"/>
      <x:c r="C65" s="17" t="str">
        <x:v>Cena zestawu (USD) — aktywne</x:v>
      </x:c>
      <x:c r="D65" s="32" t="n">
        <x:f>IF(CHOOSE($D$4,ISNUMBER(D66),ISNUMBER(D67),ISNUMBER(D68)),CHOOSE($D$4,D66,D67,D68),"n.a.")</x:f>
        <x:v>300</x:v>
      </x:c>
      <x:c r="E65" s="32" t="n">
        <x:f>IF(CHOOSE($D$4,ISNUMBER(E66),ISNUMBER(E67),ISNUMBER(E68)),CHOOSE($D$4,E66,E67,E68),"n.a.")</x:f>
        <x:v>294.8699043258512</x:v>
      </x:c>
      <x:c r="F65" s="32" t="n">
        <x:f>IF(CHOOSE($D$4,ISNUMBER(F66),ISNUMBER(F67),ISNUMBER(F68)),CHOOSE($D$4,F66,F67,F68),"n.a.")</x:f>
        <x:v>289.8275349237888</x:v>
      </x:c>
      <x:c r="G65" s="32" t="n">
        <x:f>IF(CHOOSE($D$4,ISNUMBER(G66),ISNUMBER(G67),ISNUMBER(G68)),CHOOSE($D$4,G66,G67,G68),"n.a.")</x:f>
        <x:v>284.871391646583</x:v>
      </x:c>
      <x:c r="H65" s="32" t="n">
        <x:f>IF(CHOOSE($D$4,ISNUMBER(H66),ISNUMBER(H67),ISNUMBER(H68)),CHOOSE($D$4,H66,H67,H68),"n.a.")</x:f>
        <x:v>280</x:v>
      </x:c>
      <x:c r="I65" s="32" t="n">
        <x:f>IF(CHOOSE($D$4,ISNUMBER(I66),ISNUMBER(I67),ISNUMBER(I68)),CHOOSE($D$4,I66,I67,I68),"n.a.")</x:f>
        <x:v>275.88055732655636</x:v>
      </x:c>
      <x:c r="J65" s="32" t="n">
        <x:f>IF(CHOOSE($D$4,ISNUMBER(J66),ISNUMBER(J67),ISNUMBER(J68)),CHOOSE($D$4,J66,J67,J68),"n.a.")</x:f>
        <x:v>271.8217211100405</x:v>
      </x:c>
      <x:c r="K65" s="32" t="n">
        <x:f>IF(CHOOSE($D$4,ISNUMBER(K66),ISNUMBER(K67),ISNUMBER(K68)),CHOOSE($D$4,K66,K67,K68),"n.a.")</x:f>
        <x:v>267.82259969036346</x:v>
      </x:c>
      <x:c r="L65" s="32" t="n">
        <x:f>IF(CHOOSE($D$4,ISNUMBER(L66),ISNUMBER(L67),ISNUMBER(L68)),CHOOSE($D$4,L66,L67,L68),"n.a.")</x:f>
        <x:v>263.88231452580237</x:v>
      </x:c>
      <x:c r="M65" s="32" t="n">
        <x:f>IF(CHOOSE($D$4,ISNUMBER(M66),ISNUMBER(M67),ISNUMBER(M68)),CHOOSE($D$4,M66,M67,M68),"n.a.")</x:f>
        <x:v>260</x:v>
      </x:c>
      <x:c r="N65" s="32" t="n">
        <x:f>IF(CHOOSE($D$4,ISNUMBER(N66),ISNUMBER(N67),ISNUMBER(N68)),CHOOSE($D$4,N66,N67,N68),"n.a.")</x:f>
        <x:v>258.3059785229558</x:v>
      </x:c>
      <x:c r="O65" s="32" t="n">
        <x:f>IF(CHOOSE($D$4,ISNUMBER(O66),ISNUMBER(O67),ISNUMBER(O68)),CHOOSE($D$4,O66,O67,O68),"n.a.")</x:f>
        <x:v>256.62299438731424</x:v>
      </x:c>
      <x:c r="P65" s="32" t="n">
        <x:f>IF(CHOOSE($D$4,ISNUMBER(P66),ISNUMBER(P67),ISNUMBER(P68)),CHOOSE($D$4,P66,P67,P68),"n.a.")</x:f>
        <x:v>254.95097567963927</x:v>
      </x:c>
      <x:c r="Q65" s="32" t="n">
        <x:f>IF(CHOOSE($D$4,ISNUMBER(Q66),ISNUMBER(Q67),ISNUMBER(Q68)),CHOOSE($D$4,Q66,Q67,Q68),"n.a.")</x:f>
        <x:v>253.28985095504433</x:v>
      </x:c>
      <x:c r="R65" s="32" t="n">
        <x:f>IF(CHOOSE($D$4,ISNUMBER(R66),ISNUMBER(R67),ISNUMBER(R68)),CHOOSE($D$4,R66,R67,R68),"n.a.")</x:f>
        <x:v>251.63954923413982</x:v>
      </x:c>
      <x:c r="S65" s="32" t="n">
        <x:f>IF(CHOOSE($D$4,ISNUMBER(S66),ISNUMBER(S67),ISNUMBER(S68)),CHOOSE($D$4,S66,S67,S68),"n.a.")</x:f>
        <x:v>250</x:v>
      </x:c>
    </x:row>
    <x:row r="66" ht="20" customHeight="1">
      <x:c r="A66" s="3"/>
      <x:c r="B66" s="3"/>
      <x:c r="C66" s="3" t="str">
        <x:v>Pesymistyczny</x:v>
      </x:c>
      <x:c r="D66" s="33" t="n">
        <x:v>275</x:v>
      </x:c>
      <x:c r="E66" s="33" t="n">
        <x:v>262.98530352431504</x:v>
      </x:c>
      <x:c r="F66" s="33" t="n">
        <x:v>251.49552679918582</x:v>
      </x:c>
      <x:c r="G66" s="33" t="n">
        <x:v>240.50773618287778</x:v>
      </x:c>
      <x:c r="H66" s="33" t="n">
        <x:v>229.99999999999997</x:v>
      </x:c>
      <x:c r="I66" s="33" t="n">
        <x:v>223.65997290317247</x:v>
      </x:c>
      <x:c r="J66" s="33" t="n">
        <x:v>217.49471077846889</x:v>
      </x:c>
      <x:c r="K66" s="33" t="n">
        <x:v>211.4993961708508</x:v>
      </x:c>
      <x:c r="L66" s="33" t="n">
        <x:v>205.66934442004273</x:v>
      </x:c>
      <x:c r="M66" s="33" t="n">
        <x:v>200</x:v>
      </x:c>
      <x:c r="N66" s="33" t="n">
        <x:v>196.51863877053796</x:v>
      </x:c>
      <x:c r="O66" s="33" t="n">
        <x:v>193.09787692112593</x:v>
      </x:c>
      <x:c r="P66" s="33" t="n">
        <x:v>189.73665961010275</x:v>
      </x:c>
      <x:c r="Q66" s="33" t="n">
        <x:v>186.43395035723154</x:v>
      </x:c>
      <x:c r="R66" s="33" t="n">
        <x:v>183.18873072408596</x:v>
      </x:c>
      <x:c r="S66" s="33" t="n">
        <x:v>180</x:v>
      </x:c>
    </x:row>
    <x:row r="67" ht="20" customHeight="1">
      <x:c r="A67" s="3"/>
      <x:c r="B67" s="3"/>
      <x:c r="C67" s="3" t="str">
        <x:v>Bazowy</x:v>
      </x:c>
      <x:c r="D67" s="33" t="n">
        <x:v>300</x:v>
      </x:c>
      <x:c r="E67" s="33" t="n">
        <x:v>294.8699043258512</x:v>
      </x:c>
      <x:c r="F67" s="33" t="n">
        <x:v>289.8275349237888</x:v>
      </x:c>
      <x:c r="G67" s="33" t="n">
        <x:v>284.871391646583</x:v>
      </x:c>
      <x:c r="H67" s="33" t="n">
        <x:v>280</x:v>
      </x:c>
      <x:c r="I67" s="33" t="n">
        <x:v>275.88055732655636</x:v>
      </x:c>
      <x:c r="J67" s="33" t="n">
        <x:v>271.8217211100405</x:v>
      </x:c>
      <x:c r="K67" s="33" t="n">
        <x:v>267.82259969036346</x:v>
      </x:c>
      <x:c r="L67" s="33" t="n">
        <x:v>263.88231452580237</x:v>
      </x:c>
      <x:c r="M67" s="33" t="n">
        <x:v>260</x:v>
      </x:c>
      <x:c r="N67" s="33" t="n">
        <x:v>258.3059785229558</x:v>
      </x:c>
      <x:c r="O67" s="33" t="n">
        <x:v>256.62299438731424</x:v>
      </x:c>
      <x:c r="P67" s="33" t="n">
        <x:v>254.95097567963927</x:v>
      </x:c>
      <x:c r="Q67" s="33" t="n">
        <x:v>253.28985095504433</x:v>
      </x:c>
      <x:c r="R67" s="33" t="n">
        <x:v>251.63954923413982</x:v>
      </x:c>
      <x:c r="S67" s="33" t="n">
        <x:v>250</x:v>
      </x:c>
    </x:row>
    <x:row r="68" ht="20" customHeight="1">
      <x:c r="A68" s="3"/>
      <x:c r="B68" s="3"/>
      <x:c r="C68" s="3" t="str">
        <x:v>Optymistyczny</x:v>
      </x:c>
      <x:c r="D68" s="33" t="n">
        <x:v>320</x:v>
      </x:c>
      <x:c r="E68" s="33" t="n">
        <x:v>314.8783474024689</x:v>
      </x:c>
      <x:c r="F68" s="33" t="n">
        <x:v>309.83866769659335</x:v>
      </x:c>
      <x:c r="G68" s="33" t="n">
        <x:v>304.87964889276884</x:v>
      </x:c>
      <x:c r="H68" s="33" t="n">
        <x:v>300</x:v>
      </x:c>
      <x:c r="I68" s="33" t="n">
        <x:v>295.8888568977088</x:v>
      </x:c>
      <x:c r="J68" s="33" t="n">
        <x:v>291.83405212077605</x:v>
      </x:c>
      <x:c r="K68" s="33" t="n">
        <x:v>287.83481361947594</x:v>
      </x:c>
      <x:c r="L68" s="33" t="n">
        <x:v>283.89037992410607</x:v>
      </x:c>
      <x:c r="M68" s="33" t="n">
        <x:v>280</x:v>
      </x:c>
      <x:c r="N68" s="33" t="n">
        <x:v>276.5628980496995</x:v>
      </x:c>
      <x:c r="O68" s="33" t="n">
        <x:v>273.16798777731606</x:v>
      </x:c>
      <x:c r="P68" s="33" t="n">
        <x:v>269.81475126464085</x:v>
      </x:c>
      <x:c r="Q68" s="33" t="n">
        <x:v>266.50267695109966</x:v>
      </x:c>
      <x:c r="R68" s="33" t="n">
        <x:v>263.23125955571066</x:v>
      </x:c>
      <x:c r="S68" s="33" t="n">
        <x:v>260</x:v>
      </x:c>
    </x:row>
    <x:row r="69" ht="20" customHeight="1">
      <x:c r="A69" s="3"/>
      <x:c r="B69" s="3"/>
      <x:c r="C69" s="35" t="str">
        <x:v>Connectivity: marża cash przed SBC — aktywne</x:v>
      </x:c>
      <x:c r="D69" s="36" t="n">
        <x:f>IF(CHOOSE($D$4,ISNUMBER(D70),ISNUMBER(D71),ISNUMBER(D72)),CHOOSE($D$4,D70,D71,D72),"n.a.")</x:f>
        <x:v>0.67</x:v>
      </x:c>
      <x:c r="E69" s="36" t="n">
        <x:f>IF(CHOOSE($D$4,ISNUMBER(E70),ISNUMBER(E71),ISNUMBER(E72)),CHOOSE($D$4,E70,E71,E72),"n.a.")</x:f>
        <x:v>0.6674858843728764</x:v>
      </x:c>
      <x:c r="F69" s="36" t="n">
        <x:f>IF(CHOOSE($D$4,ISNUMBER(F70),ISNUMBER(F71),ISNUMBER(F72)),CHOOSE($D$4,F70,F71,F72),"n.a.")</x:f>
        <x:v>0.664981202741852</x:v>
      </x:c>
      <x:c r="G69" s="36" t="n">
        <x:f>IF(CHOOSE($D$4,ISNUMBER(G70),ISNUMBER(G71),ISNUMBER(G72)),CHOOSE($D$4,G70,G71,G72),"n.a.")</x:f>
        <x:v>0.6624859197066926</x:v>
      </x:c>
      <x:c r="H69" s="36" t="n">
        <x:f>IF(CHOOSE($D$4,ISNUMBER(H70),ISNUMBER(H71),ISNUMBER(H72)),CHOOSE($D$4,H70,H71,H72),"n.a.")</x:f>
        <x:v>0.66</x:v>
      </x:c>
      <x:c r="I69" s="36" t="n">
        <x:f>IF(CHOOSE($D$4,ISNUMBER(I70),ISNUMBER(I71),ISNUMBER(I72)),CHOOSE($D$4,I70,I71,I72),"n.a.")</x:f>
        <x:v>0.6559506144680631</x:v>
      </x:c>
      <x:c r="J69" s="36" t="n">
        <x:f>IF(CHOOSE($D$4,ISNUMBER(J70),ISNUMBER(J71),ISNUMBER(J72)),CHOOSE($D$4,J70,J71,J72),"n.a.")</x:f>
        <x:v>0.6519260736682265</x:v>
      </x:c>
      <x:c r="K69" s="36" t="n">
        <x:f>IF(CHOOSE($D$4,ISNUMBER(K70),ISNUMBER(K71),ISNUMBER(K72)),CHOOSE($D$4,K70,K71,K72),"n.a.")</x:f>
        <x:v>0.6479262251673106</x:v>
      </x:c>
      <x:c r="L69" s="36" t="n">
        <x:f>IF(CHOOSE($D$4,ISNUMBER(L70),ISNUMBER(L71),ISNUMBER(L72)),CHOOSE($D$4,L70,L71,L72),"n.a.")</x:f>
        <x:v>0.6439509174673788</x:v>
      </x:c>
      <x:c r="M69" s="36" t="n">
        <x:f>IF(CHOOSE($D$4,ISNUMBER(M70),ISNUMBER(M71),ISNUMBER(M72)),CHOOSE($D$4,M70,M71,M72),"n.a.")</x:f>
        <x:v>0.64</x:v>
      </x:c>
      <x:c r="N69" s="36" t="n">
        <x:f>IF(CHOOSE($D$4,ISNUMBER(N70),ISNUMBER(N71),ISNUMBER(N72)),CHOOSE($D$4,N70,N71,N72),"n.a.")</x:f>
        <x:v>0.6366224162180228</x:v>
      </x:c>
      <x:c r="O69" s="36" t="n">
        <x:f>IF(CHOOSE($D$4,ISNUMBER(O70),ISNUMBER(O71),ISNUMBER(O72)),CHOOSE($D$4,O70,O71,O72),"n.a.")</x:f>
        <x:v>0.6332626575488649</x:v>
      </x:c>
      <x:c r="P69" s="36" t="n">
        <x:f>IF(CHOOSE($D$4,ISNUMBER(P70),ISNUMBER(P71),ISNUMBER(P72)),CHOOSE($D$4,P70,P71,P72),"n.a.")</x:f>
        <x:v>0.6299206299209449</x:v>
      </x:c>
      <x:c r="Q69" s="36" t="n">
        <x:f>IF(CHOOSE($D$4,ISNUMBER(Q70),ISNUMBER(Q71),ISNUMBER(Q72)),CHOOSE($D$4,Q70,Q71,Q72),"n.a.")</x:f>
        <x:v>0.6265962397591421</x:v>
      </x:c>
      <x:c r="R69" s="36" t="n">
        <x:f>IF(CHOOSE($D$4,ISNUMBER(R70),ISNUMBER(R71),ISNUMBER(R72)),CHOOSE($D$4,R70,R71,R72),"n.a.")</x:f>
        <x:v>0.6232893939821759</x:v>
      </x:c>
      <x:c r="S69" s="36" t="n">
        <x:f>IF(CHOOSE($D$4,ISNUMBER(S70),ISNUMBER(S71),ISNUMBER(S72)),CHOOSE($D$4,S70,S71,S72),"n.a.")</x:f>
        <x:v>0.62</x:v>
      </x:c>
    </x:row>
    <x:row r="70" ht="20" customHeight="1">
      <x:c r="A70" s="3"/>
      <x:c r="B70" s="3"/>
      <x:c r="C70" s="10" t="str">
        <x:v>Pesymistyczny</x:v>
      </x:c>
      <x:c r="D70" s="37" t="n">
        <x:v>0.62</x:v>
      </x:c>
      <x:c r="E70" s="37" t="n">
        <x:v>0.6097485349666785</x:v>
      </x:c>
      <x:c r="F70" s="37" t="n">
        <x:v>0.5996665740225979</x:v>
      </x:c>
      <x:c r="G70" s="37" t="n">
        <x:v>0.5897513144818812</x:v>
      </x:c>
      <x:c r="H70" s="37" t="n">
        <x:v>0.58</x:v>
      </x:c>
      <x:c r="I70" s="37" t="n">
        <x:v>0.57594365779199</x:v>
      </x:c>
      <x:c r="J70" s="37" t="n">
        <x:v>0.5719156843979601</x:v>
      </x:c>
      <x:c r="K70" s="37" t="n">
        <x:v>0.5679158814151216</x:v>
      </x:c>
      <x:c r="L70" s="37" t="n">
        <x:v>0.5639440518282537</x:v>
      </x:c>
      <x:c r="M70" s="37" t="n">
        <x:v>0.56</x:v>
      </x:c>
      <x:c r="N70" s="37" t="n">
        <x:v>0.5566159527235343</x:v>
      </x:c>
      <x:c r="O70" s="37" t="n">
        <x:v>0.5532523550470136</x:v>
      </x:c>
      <x:c r="P70" s="37" t="n">
        <x:v>0.5499090833947009</x:v>
      </x:c>
      <x:c r="Q70" s="37" t="n">
        <x:v>0.5465860149376194</x:v>
      </x:c>
      <x:c r="R70" s="37" t="n">
        <x:v>0.5432830275890408</x:v>
      </x:c>
      <x:c r="S70" s="37" t="n">
        <x:v>0.54</x:v>
      </x:c>
    </x:row>
    <x:row r="71" ht="20" customHeight="1">
      <x:c r="A71" s="3"/>
      <x:c r="B71" s="3"/>
      <x:c r="C71" s="10" t="str">
        <x:v>Bazowy</x:v>
      </x:c>
      <x:c r="D71" s="37" t="n">
        <x:v>0.67</x:v>
      </x:c>
      <x:c r="E71" s="37" t="n">
        <x:v>0.6674858843728764</x:v>
      </x:c>
      <x:c r="F71" s="37" t="n">
        <x:v>0.664981202741852</x:v>
      </x:c>
      <x:c r="G71" s="37" t="n">
        <x:v>0.6624859197066926</x:v>
      </x:c>
      <x:c r="H71" s="37" t="n">
        <x:v>0.66</x:v>
      </x:c>
      <x:c r="I71" s="37" t="n">
        <x:v>0.6559506144680631</x:v>
      </x:c>
      <x:c r="J71" s="37" t="n">
        <x:v>0.6519260736682265</x:v>
      </x:c>
      <x:c r="K71" s="37" t="n">
        <x:v>0.6479262251673106</x:v>
      </x:c>
      <x:c r="L71" s="37" t="n">
        <x:v>0.6439509174673788</x:v>
      </x:c>
      <x:c r="M71" s="37" t="n">
        <x:v>0.64</x:v>
      </x:c>
      <x:c r="N71" s="37" t="n">
        <x:v>0.6366224162180228</x:v>
      </x:c>
      <x:c r="O71" s="37" t="n">
        <x:v>0.6332626575488649</x:v>
      </x:c>
      <x:c r="P71" s="37" t="n">
        <x:v>0.6299206299209449</x:v>
      </x:c>
      <x:c r="Q71" s="37" t="n">
        <x:v>0.6265962397591421</x:v>
      </x:c>
      <x:c r="R71" s="37" t="n">
        <x:v>0.6232893939821759</x:v>
      </x:c>
      <x:c r="S71" s="37" t="n">
        <x:v>0.62</x:v>
      </x:c>
    </x:row>
    <x:row r="72" ht="20" customHeight="1">
      <x:c r="A72" s="3"/>
      <x:c r="B72" s="3"/>
      <x:c r="C72" s="10" t="str">
        <x:v>Optymistyczny</x:v>
      </x:c>
      <x:c r="D72" s="37" t="n">
        <x:v>0.69</x:v>
      </x:c>
      <x:c r="E72" s="37" t="n">
        <x:v>0.6924865267768578</x:v>
      </x:c>
      <x:c r="F72" s="37" t="n">
        <x:v>0.6949820141557621</x:v>
      </x:c>
      <x:c r="G72" s="37" t="n">
        <x:v>0.697486494427694</x:v>
      </x:c>
      <x:c r="H72" s="37" t="n">
        <x:v>0.7</x:v>
      </x:c>
      <x:c r="I72" s="37" t="n">
        <x:v>0.7</x:v>
      </x:c>
      <x:c r="J72" s="37" t="n">
        <x:v>0.7</x:v>
      </x:c>
      <x:c r="K72" s="37" t="n">
        <x:v>0.7</x:v>
      </x:c>
      <x:c r="L72" s="37" t="n">
        <x:v>0.7</x:v>
      </x:c>
      <x:c r="M72" s="37" t="n">
        <x:v>0.7</x:v>
      </x:c>
      <x:c r="N72" s="37" t="n">
        <x:v>0.6983233252035869</x:v>
      </x:c>
      <x:c r="O72" s="37" t="n">
        <x:v>0.6966506664619924</x:v>
      </x:c>
      <x:c r="P72" s="37" t="n">
        <x:v>0.6949820141557621</x:v>
      </x:c>
      <x:c r="Q72" s="37" t="n">
        <x:v>0.6933173586884831</x:v>
      </x:c>
      <x:c r="R72" s="37" t="n">
        <x:v>0.6916566904867278</x:v>
      </x:c>
      <x:c r="S72" s="37" t="n">
        <x:v>0.69</x:v>
      </x:c>
    </x:row>
    <x:row r="73" ht="20" customHeight="1">
      <x:c r="A73" s="3"/>
      <x:c r="B73" s="3"/>
      <x:c r="C73" s="35" t="str">
        <x:v>Connectivity: SBC / przychody — aktywne</x:v>
      </x:c>
      <x:c r="D73" s="36" t="n">
        <x:f>IF(CHOOSE($D$4,ISNUMBER(D74),ISNUMBER(D75),ISNUMBER(D76)),CHOOSE($D$4,D74,D75,D76),"n.a.")</x:f>
        <x:v>0.03</x:v>
      </x:c>
      <x:c r="E73" s="36" t="n">
        <x:f>IF(CHOOSE($D$4,ISNUMBER(E74),ISNUMBER(E75),ISNUMBER(E76)),CHOOSE($D$4,E74,E75,E76),"n.a.")</x:f>
        <x:v>0.03</x:v>
      </x:c>
      <x:c r="F73" s="36" t="n">
        <x:f>IF(CHOOSE($D$4,ISNUMBER(F74),ISNUMBER(F75),ISNUMBER(F76)),CHOOSE($D$4,F74,F75,F76),"n.a.")</x:f>
        <x:v>0.03</x:v>
      </x:c>
      <x:c r="G73" s="36" t="n">
        <x:f>IF(CHOOSE($D$4,ISNUMBER(G74),ISNUMBER(G75),ISNUMBER(G76)),CHOOSE($D$4,G74,G75,G76),"n.a.")</x:f>
        <x:v>0.03</x:v>
      </x:c>
      <x:c r="H73" s="36" t="n">
        <x:f>IF(CHOOSE($D$4,ISNUMBER(H74),ISNUMBER(H75),ISNUMBER(H76)),CHOOSE($D$4,H74,H75,H76),"n.a.")</x:f>
        <x:v>0.03</x:v>
      </x:c>
      <x:c r="I73" s="36" t="n">
        <x:f>IF(CHOOSE($D$4,ISNUMBER(I74),ISNUMBER(I75),ISNUMBER(I76)),CHOOSE($D$4,I74,I75,I76),"n.a.")</x:f>
        <x:v>0.028925775120078816</x:v>
      </x:c>
      <x:c r="J73" s="36" t="n">
        <x:f>IF(CHOOSE($D$4,ISNUMBER(J74),ISNUMBER(J75),ISNUMBER(J76)),CHOOSE($D$4,J74,J75,J76),"n.a.")</x:f>
        <x:v>0.02789001554324569</x:v>
      </x:c>
      <x:c r="K73" s="36" t="n">
        <x:f>IF(CHOOSE($D$4,ISNUMBER(K74),ISNUMBER(K75),ISNUMBER(K76)),CHOOSE($D$4,K74,K75,K76),"n.a.")</x:f>
        <x:v>0.026891343923314253</x:v>
      </x:c>
      <x:c r="L73" s="36" t="n">
        <x:f>IF(CHOOSE($D$4,ISNUMBER(L74),ISNUMBER(L75),ISNUMBER(L76)),CHOOSE($D$4,L74,L75,L76),"n.a.")</x:f>
        <x:v>0.025928432233416204</x:v>
      </x:c>
      <x:c r="M73" s="36" t="n">
        <x:f>IF(CHOOSE($D$4,ISNUMBER(M74),ISNUMBER(M75),ISNUMBER(M76)),CHOOSE($D$4,M74,M75,M76),"n.a.")</x:f>
        <x:v>0.025</x:v>
      </x:c>
      <x:c r="N73" s="36" t="n">
        <x:f>IF(CHOOSE($D$4,ISNUMBER(N74),ISNUMBER(N75),ISNUMBER(N76)),CHOOSE($D$4,N74,N75,N76),"n.a.")</x:f>
        <x:v>0.024087312099974903</x:v>
      </x:c>
      <x:c r="O73" s="36" t="n">
        <x:f>IF(CHOOSE($D$4,ISNUMBER(O74),ISNUMBER(O75),ISNUMBER(O76)),CHOOSE($D$4,O74,O75,O76),"n.a.")</x:f>
        <x:v>0.023207944168063894</x:v>
      </x:c>
      <x:c r="P73" s="36" t="n">
        <x:f>IF(CHOOSE($D$4,ISNUMBER(P74),ISNUMBER(P75),ISNUMBER(P76)),CHOOSE($D$4,P74,P75,P76),"n.a.")</x:f>
        <x:v>0.022360679774997897</x:v>
      </x:c>
      <x:c r="Q73" s="36" t="n">
        <x:f>IF(CHOOSE($D$4,ISNUMBER(Q74),ISNUMBER(Q75),ISNUMBER(Q76)),CHOOSE($D$4,Q74,Q75,Q76),"n.a.")</x:f>
        <x:v>0.02154434690031884</x:v>
      </x:c>
      <x:c r="R73" s="36" t="n">
        <x:f>IF(CHOOSE($D$4,ISNUMBER(R74),ISNUMBER(R75),ISNUMBER(R76)),CHOOSE($D$4,R74,R75,R76),"n.a.")</x:f>
        <x:v>0.020757816311124267</x:v>
      </x:c>
      <x:c r="S73" s="36" t="n">
        <x:f>IF(CHOOSE($D$4,ISNUMBER(S74),ISNUMBER(S75),ISNUMBER(S76)),CHOOSE($D$4,S74,S75,S76),"n.a.")</x:f>
        <x:v>0.02</x:v>
      </x:c>
    </x:row>
    <x:row r="74" ht="20" customHeight="1">
      <x:c r="A74" s="3"/>
      <x:c r="B74" s="3"/>
      <x:c r="C74" s="10" t="str">
        <x:v>Pesymistyczny</x:v>
      </x:c>
      <x:c r="D74" s="37" t="n">
        <x:v>0.035</x:v>
      </x:c>
      <x:c r="E74" s="37" t="n">
        <x:v>0.035</x:v>
      </x:c>
      <x:c r="F74" s="37" t="n">
        <x:v>0.035</x:v>
      </x:c>
      <x:c r="G74" s="37" t="n">
        <x:v>0.035</x:v>
      </x:c>
      <x:c r="H74" s="37" t="n">
        <x:v>0.035</x:v>
      </x:c>
      <x:c r="I74" s="37" t="n">
        <x:v>0.03393740931334527</x:v>
      </x:c>
      <x:c r="J74" s="37" t="n">
        <x:v>0.03290707859718669</x:v>
      </x:c>
      <x:c r="K74" s="37" t="n">
        <x:v>0.03190802844740424</x:v>
      </x:c>
      <x:c r="L74" s="37" t="n">
        <x:v>0.03093930919432635</x:v>
      </x:c>
      <x:c r="M74" s="37" t="n">
        <x:v>0.03</x:v>
      </x:c>
      <x:c r="N74" s="37" t="n">
        <x:v>0.03</x:v>
      </x:c>
      <x:c r="O74" s="37" t="n">
        <x:v>0.03</x:v>
      </x:c>
      <x:c r="P74" s="37" t="n">
        <x:v>0.03</x:v>
      </x:c>
      <x:c r="Q74" s="37" t="n">
        <x:v>0.03</x:v>
      </x:c>
      <x:c r="R74" s="37" t="n">
        <x:v>0.03</x:v>
      </x:c>
      <x:c r="S74" s="37" t="n">
        <x:v>0.03</x:v>
      </x:c>
    </x:row>
    <x:row r="75" ht="20" customHeight="1">
      <x:c r="A75" s="3"/>
      <x:c r="B75" s="3"/>
      <x:c r="C75" s="10" t="str">
        <x:v>Bazowy</x:v>
      </x:c>
      <x:c r="D75" s="37" t="n">
        <x:v>0.03</x:v>
      </x:c>
      <x:c r="E75" s="37" t="n">
        <x:v>0.03</x:v>
      </x:c>
      <x:c r="F75" s="37" t="n">
        <x:v>0.03</x:v>
      </x:c>
      <x:c r="G75" s="37" t="n">
        <x:v>0.03</x:v>
      </x:c>
      <x:c r="H75" s="37" t="n">
        <x:v>0.03</x:v>
      </x:c>
      <x:c r="I75" s="37" t="n">
        <x:v>0.028925775120078816</x:v>
      </x:c>
      <x:c r="J75" s="37" t="n">
        <x:v>0.02789001554324569</x:v>
      </x:c>
      <x:c r="K75" s="37" t="n">
        <x:v>0.026891343923314253</x:v>
      </x:c>
      <x:c r="L75" s="37" t="n">
        <x:v>0.025928432233416204</x:v>
      </x:c>
      <x:c r="M75" s="37" t="n">
        <x:v>0.025</x:v>
      </x:c>
      <x:c r="N75" s="37" t="n">
        <x:v>0.024087312099974903</x:v>
      </x:c>
      <x:c r="O75" s="37" t="n">
        <x:v>0.023207944168063894</x:v>
      </x:c>
      <x:c r="P75" s="37" t="n">
        <x:v>0.022360679774997897</x:v>
      </x:c>
      <x:c r="Q75" s="37" t="n">
        <x:v>0.02154434690031884</x:v>
      </x:c>
      <x:c r="R75" s="37" t="n">
        <x:v>0.020757816311124267</x:v>
      </x:c>
      <x:c r="S75" s="37" t="n">
        <x:v>0.02</x:v>
      </x:c>
    </x:row>
    <x:row r="76" ht="20" customHeight="1">
      <x:c r="A76" s="3"/>
      <x:c r="B76" s="3"/>
      <x:c r="C76" s="10" t="str">
        <x:v>Optymistyczny</x:v>
      </x:c>
      <x:c r="D76" s="37" t="n">
        <x:v>0.025</x:v>
      </x:c>
      <x:c r="E76" s="37" t="n">
        <x:v>0.025</x:v>
      </x:c>
      <x:c r="F76" s="37" t="n">
        <x:v>0.025</x:v>
      </x:c>
      <x:c r="G76" s="37" t="n">
        <x:v>0.025</x:v>
      </x:c>
      <x:c r="H76" s="37" t="n">
        <x:v>0.025</x:v>
      </x:c>
      <x:c r="I76" s="37" t="n">
        <x:v>0.023908812494750926</x:v>
      </x:c>
      <x:c r="J76" s="37" t="n">
        <x:v>0.02286525259636632</x:v>
      </x:c>
      <x:c r="K76" s="37" t="n">
        <x:v>0.02186724147886556</x:v>
      </x:c>
      <x:c r="L76" s="37" t="n">
        <x:v>0.020912791051825464</x:v>
      </x:c>
      <x:c r="M76" s="37" t="n">
        <x:v>0.02</x:v>
      </x:c>
      <x:c r="N76" s="37" t="n">
        <x:v>0.01906368585993873</x:v>
      </x:c>
      <x:c r="O76" s="37" t="n">
        <x:v>0.018171205928321398</x:v>
      </x:c>
      <x:c r="P76" s="37" t="n">
        <x:v>0.017320508075688773</x:v>
      </x:c>
      <x:c r="Q76" s="37" t="n">
        <x:v>0.016509636244473134</x:v>
      </x:c>
      <x:c r="R76" s="37" t="n">
        <x:v>0.01573672595132472</x:v>
      </x:c>
      <x:c r="S76" s="37" t="n">
        <x:v>0.015</x:v>
      </x:c>
    </x:row>
    <x:row r="77" ht="20" customHeight="1">
      <x:c r="A77" s="3"/>
      <x:c r="B77" s="3"/>
      <x:c r="C77" s="35" t="str">
        <x:v>Connectivity: capex / przychody — aktywne</x:v>
      </x:c>
      <x:c r="D77" s="36" t="n">
        <x:f>IF(CHOOSE($D$4,ISNUMBER(D78),ISNUMBER(D79),ISNUMBER(D80)),CHOOSE($D$4,D78,D79,D80),"n.a.")</x:f>
        <x:v>0.33</x:v>
      </x:c>
      <x:c r="E77" s="36" t="n">
        <x:f>IF(CHOOSE($D$4,ISNUMBER(E78),ISNUMBER(E79),ISNUMBER(E80)),CHOOSE($D$4,E78,E79,E80),"n.a.")</x:f>
        <x:v>0.3248821708025058</x:v>
      </x:c>
      <x:c r="F77" s="36" t="n">
        <x:f>IF(CHOOSE($D$4,ISNUMBER(F78),ISNUMBER(F79),ISNUMBER(F80)),CHOOSE($D$4,F78,F79,F80),"n.a.")</x:f>
        <x:v>0.31984371183438953</x:v>
      </x:c>
      <x:c r="G77" s="36" t="n">
        <x:f>IF(CHOOSE($D$4,ISNUMBER(G78),ISNUMBER(G79),ISNUMBER(G80)),CHOOSE($D$4,G78,G79,G80),"n.a.")</x:f>
        <x:v>0.31488339217662903</x:v>
      </x:c>
      <x:c r="H77" s="36" t="n">
        <x:f>IF(CHOOSE($D$4,ISNUMBER(H78),ISNUMBER(H79),ISNUMBER(H80)),CHOOSE($D$4,H78,H79,H80),"n.a.")</x:f>
        <x:v>0.31</x:v>
      </x:c>
      <x:c r="I77" s="36" t="n">
        <x:f>IF(CHOOSE($D$4,ISNUMBER(I78),ISNUMBER(I79),ISNUMBER(I80)),CHOOSE($D$4,I78,I79,I80),"n.a.")</x:f>
        <x:v>0.3037532695711895</x:v>
      </x:c>
      <x:c r="J77" s="36" t="n">
        <x:f>IF(CHOOSE($D$4,ISNUMBER(J78),ISNUMBER(J79),ISNUMBER(J80)),CHOOSE($D$4,J78,J79,J80),"n.a.")</x:f>
        <x:v>0.29763241540383134</x:v>
      </x:c>
      <x:c r="K77" s="36" t="n">
        <x:f>IF(CHOOSE($D$4,ISNUMBER(K78),ISNUMBER(K79),ISNUMBER(K80)),CHOOSE($D$4,K78,K79,K80),"n.a.")</x:f>
        <x:v>0.29163490099769107</x:v>
      </x:c>
      <x:c r="L77" s="36" t="n">
        <x:f>IF(CHOOSE($D$4,ISNUMBER(L78),ISNUMBER(L79),ISNUMBER(L80)),CHOOSE($D$4,L78,L79,L80),"n.a.")</x:f>
        <x:v>0.2857582409648994</x:v>
      </x:c>
      <x:c r="M77" s="36" t="n">
        <x:f>IF(CHOOSE($D$4,ISNUMBER(M78),ISNUMBER(M79),ISNUMBER(M80)),CHOOSE($D$4,M78,M79,M80),"n.a.")</x:f>
        <x:v>0.28</x:v>
      </x:c>
      <x:c r="N77" s="36" t="n">
        <x:f>IF(CHOOSE($D$4,ISNUMBER(N78),ISNUMBER(N79),ISNUMBER(N80)),CHOOSE($D$4,N78,N79,N80),"n.a.")</x:f>
        <x:v>0.2765628980496996</x:v>
      </x:c>
      <x:c r="O77" s="36" t="n">
        <x:f>IF(CHOOSE($D$4,ISNUMBER(O78),ISNUMBER(O79),ISNUMBER(O80)),CHOOSE($D$4,O78,O79,O80),"n.a.")</x:f>
        <x:v>0.2731679877773161</x:v>
      </x:c>
      <x:c r="P77" s="36" t="n">
        <x:f>IF(CHOOSE($D$4,ISNUMBER(P78),ISNUMBER(P79),ISNUMBER(P80)),CHOOSE($D$4,P78,P79,P80),"n.a.")</x:f>
        <x:v>0.26981475126464083</x:v>
      </x:c>
      <x:c r="Q77" s="36" t="n">
        <x:f>IF(CHOOSE($D$4,ISNUMBER(Q78),ISNUMBER(Q79),ISNUMBER(Q80)),CHOOSE($D$4,Q78,Q79,Q80),"n.a.")</x:f>
        <x:v>0.2665026769510997</x:v>
      </x:c>
      <x:c r="R77" s="36" t="n">
        <x:f>IF(CHOOSE($D$4,ISNUMBER(R78),ISNUMBER(R79),ISNUMBER(R80)),CHOOSE($D$4,R78,R79,R80),"n.a.")</x:f>
        <x:v>0.26323125955571064</x:v>
      </x:c>
      <x:c r="S77" s="36" t="n">
        <x:f>IF(CHOOSE($D$4,ISNUMBER(S78),ISNUMBER(S79),ISNUMBER(S80)),CHOOSE($D$4,S78,S79,S80),"n.a.")</x:f>
        <x:v>0.26</x:v>
      </x:c>
    </x:row>
    <x:row r="78" ht="20" customHeight="1">
      <x:c r="A78" s="3"/>
      <x:c r="B78" s="3"/>
      <x:c r="C78" s="10" t="str">
        <x:v>Pesymistyczny</x:v>
      </x:c>
      <x:c r="D78" s="37" t="n">
        <x:v>0.38</x:v>
      </x:c>
      <x:c r="E78" s="37" t="n">
        <x:v>0.37747494323507136</x:v>
      </x:c>
      <x:c r="F78" s="37" t="n">
        <x:v>0.3749666651850535</x:v>
      </x:c>
      <x:c r="G78" s="37" t="n">
        <x:v>0.3724750543572949</x:v>
      </x:c>
      <x:c r="H78" s="37" t="n">
        <x:v>0.37</x:v>
      </x:c>
      <x:c r="I78" s="37" t="n">
        <x:v>0.3659105978550017</x:v>
      </x:c>
      <x:c r="J78" s="37" t="n">
        <x:v>0.36186639357460737</x:v>
      </x:c>
      <x:c r="K78" s="37" t="n">
        <x:v>0.35786688761221064</x:v>
      </x:c>
      <x:c r="L78" s="37" t="n">
        <x:v>0.3539115859424126</x:v>
      </x:c>
      <x:c r="M78" s="37" t="n">
        <x:v>0.35</x:v>
      </x:c>
      <x:c r="N78" s="37" t="n">
        <x:v>0.3465844127773755</x:v>
      </x:c>
      <x:c r="O78" s="37" t="n">
        <x:v>0.34320215765782347</x:v>
      </x:c>
      <x:c r="P78" s="37" t="n">
        <x:v>0.3398529093593286</x:v>
      </x:c>
      <x:c r="Q78" s="37" t="n">
        <x:v>0.33653634577424435</x:v>
      </x:c>
      <x:c r="R78" s="37" t="n">
        <x:v>0.3332521479383151</x:v>
      </x:c>
      <x:c r="S78" s="37" t="n">
        <x:v>0.33</x:v>
      </x:c>
    </x:row>
    <x:row r="79" ht="20" customHeight="1">
      <x:c r="A79" s="3"/>
      <x:c r="B79" s="3"/>
      <x:c r="C79" s="10" t="str">
        <x:v>Bazowy</x:v>
      </x:c>
      <x:c r="D79" s="37" t="n">
        <x:v>0.33</x:v>
      </x:c>
      <x:c r="E79" s="37" t="n">
        <x:v>0.3248821708025058</x:v>
      </x:c>
      <x:c r="F79" s="37" t="n">
        <x:v>0.31984371183438953</x:v>
      </x:c>
      <x:c r="G79" s="37" t="n">
        <x:v>0.31488339217662903</x:v>
      </x:c>
      <x:c r="H79" s="37" t="n">
        <x:v>0.31</x:v>
      </x:c>
      <x:c r="I79" s="37" t="n">
        <x:v>0.3037532695711895</x:v>
      </x:c>
      <x:c r="J79" s="37" t="n">
        <x:v>0.29763241540383134</x:v>
      </x:c>
      <x:c r="K79" s="37" t="n">
        <x:v>0.29163490099769107</x:v>
      </x:c>
      <x:c r="L79" s="37" t="n">
        <x:v>0.2857582409648994</x:v>
      </x:c>
      <x:c r="M79" s="37" t="n">
        <x:v>0.28</x:v>
      </x:c>
      <x:c r="N79" s="37" t="n">
        <x:v>0.2765628980496996</x:v>
      </x:c>
      <x:c r="O79" s="37" t="n">
        <x:v>0.2731679877773161</x:v>
      </x:c>
      <x:c r="P79" s="37" t="n">
        <x:v>0.26981475126464083</x:v>
      </x:c>
      <x:c r="Q79" s="37" t="n">
        <x:v>0.2665026769510997</x:v>
      </x:c>
      <x:c r="R79" s="37" t="n">
        <x:v>0.26323125955571064</x:v>
      </x:c>
      <x:c r="S79" s="37" t="n">
        <x:v>0.26</x:v>
      </x:c>
    </x:row>
    <x:row r="80" ht="20" customHeight="1">
      <x:c r="A80" s="3"/>
      <x:c r="B80" s="3"/>
      <x:c r="C80" s="10" t="str">
        <x:v>Optymistyczny</x:v>
      </x:c>
      <x:c r="D80" s="37" t="n">
        <x:v>0.3</x:v>
      </x:c>
      <x:c r="E80" s="37" t="n">
        <x:v>0.292201123927589</x:v>
      </x:c>
      <x:c r="F80" s="37" t="n">
        <x:v>0.28460498941515416</x:v>
      </x:c>
      <x:c r="G80" s="37" t="n">
        <x:v>0.2772063259416921</x:v>
      </x:c>
      <x:c r="H80" s="37" t="n">
        <x:v>0.27</x:v>
      </x:c>
      <x:c r="I80" s="37" t="n">
        <x:v>0.26371404464251696</x:v>
      </x:c>
      <x:c r="J80" s="37" t="n">
        <x:v>0.257574434598946</x:v>
      </x:c>
      <x:c r="K80" s="37" t="n">
        <x:v>0.25157776275776855</x:v>
      </x:c>
      <x:c r="L80" s="37" t="n">
        <x:v>0.24572070132950632</x:v>
      </x:c>
      <x:c r="M80" s="37" t="n">
        <x:v>0.24</x:v>
      </x:c>
      <x:c r="N80" s="37" t="n">
        <x:v>0.2383036389086975</x:v>
      </x:c>
      <x:c r="O80" s="37" t="n">
        <x:v>0.23661926798802865</x:v>
      </x:c>
      <x:c r="P80" s="37" t="n">
        <x:v>0.2349468024894146</x:v>
      </x:c>
      <x:c r="Q80" s="37" t="n">
        <x:v>0.23328615826329385</x:v>
      </x:c>
      <x:c r="R80" s="37" t="n">
        <x:v>0.2316372517548885</x:v>
      </x:c>
      <x:c r="S80" s="37" t="n">
        <x:v>0.23</x:v>
      </x:c>
    </x:row>
    <x:row r="81" ht="20" customHeight="1">
      <x:c r="A81" s="3"/>
      <x:c r="B81" s="3"/>
      <x:c r="C81" s="17" t="str">
        <x:v>Starty dla klientów w okresie — aktywne</x:v>
      </x:c>
      <x:c r="D81" s="32" t="n">
        <x:f>IF(CHOOSE($D$4,ISNUMBER(D82),ISNUMBER(D83),ISNUMBER(D84)),CHOOSE($D$4,D82,D83,D84),"n.a.")</x:f>
        <x:v>14</x:v>
      </x:c>
      <x:c r="E81" s="32" t="n">
        <x:f>IF(CHOOSE($D$4,ISNUMBER(E82),ISNUMBER(E83),ISNUMBER(E84)),CHOOSE($D$4,E82,E83,E84),"n.a.")</x:f>
        <x:v>68</x:v>
      </x:c>
      <x:c r="F81" s="32" t="n">
        <x:f>IF(CHOOSE($D$4,ISNUMBER(F82),ISNUMBER(F83),ISNUMBER(F84)),CHOOSE($D$4,F82,F83,F84),"n.a.")</x:f>
        <x:v>77</x:v>
      </x:c>
      <x:c r="G81" s="32" t="n">
        <x:f>IF(CHOOSE($D$4,ISNUMBER(G82),ISNUMBER(G83),ISNUMBER(G84)),CHOOSE($D$4,G82,G83,G84),"n.a.")</x:f>
        <x:v>88</x:v>
      </x:c>
      <x:c r="H81" s="32" t="n">
        <x:f>IF(CHOOSE($D$4,ISNUMBER(H82),ISNUMBER(H83),ISNUMBER(H84)),CHOOSE($D$4,H82,H83,H84),"n.a.")</x:f>
        <x:v>100</x:v>
      </x:c>
      <x:c r="I81" s="32" t="n">
        <x:f>IF(CHOOSE($D$4,ISNUMBER(I82),ISNUMBER(I83),ISNUMBER(I84)),CHOOSE($D$4,I82,I83,I84),"n.a.")</x:f>
        <x:v>110</x:v>
      </x:c>
      <x:c r="J81" s="32" t="n">
        <x:f>IF(CHOOSE($D$4,ISNUMBER(J82),ISNUMBER(J83),ISNUMBER(J84)),CHOOSE($D$4,J82,J83,J84),"n.a.")</x:f>
        <x:v>121</x:v>
      </x:c>
      <x:c r="K81" s="32" t="n">
        <x:f>IF(CHOOSE($D$4,ISNUMBER(K82),ISNUMBER(K83),ISNUMBER(K84)),CHOOSE($D$4,K82,K83,K84),"n.a.")</x:f>
        <x:v>133</x:v>
      </x:c>
      <x:c r="L81" s="32" t="n">
        <x:f>IF(CHOOSE($D$4,ISNUMBER(L82),ISNUMBER(L83),ISNUMBER(L84)),CHOOSE($D$4,L82,L83,L84),"n.a.")</x:f>
        <x:v>146</x:v>
      </x:c>
      <x:c r="M81" s="32" t="n">
        <x:f>IF(CHOOSE($D$4,ISNUMBER(M82),ISNUMBER(M83),ISNUMBER(M84)),CHOOSE($D$4,M82,M83,M84),"n.a.")</x:f>
        <x:v>160</x:v>
      </x:c>
      <x:c r="N81" s="32" t="n">
        <x:f>IF(CHOOSE($D$4,ISNUMBER(N82),ISNUMBER(N83),ISNUMBER(N84)),CHOOSE($D$4,N82,N83,N84),"n.a.")</x:f>
        <x:v>165</x:v>
      </x:c>
      <x:c r="O81" s="32" t="n">
        <x:f>IF(CHOOSE($D$4,ISNUMBER(O82),ISNUMBER(O83),ISNUMBER(O84)),CHOOSE($D$4,O82,O83,O84),"n.a.")</x:f>
        <x:v>171</x:v>
      </x:c>
      <x:c r="P81" s="32" t="n">
        <x:f>IF(CHOOSE($D$4,ISNUMBER(P82),ISNUMBER(P83),ISNUMBER(P84)),CHOOSE($D$4,P82,P83,P84),"n.a.")</x:f>
        <x:v>177</x:v>
      </x:c>
      <x:c r="Q81" s="32" t="n">
        <x:f>IF(CHOOSE($D$4,ISNUMBER(Q82),ISNUMBER(Q83),ISNUMBER(Q84)),CHOOSE($D$4,Q82,Q83,Q84),"n.a.")</x:f>
        <x:v>183</x:v>
      </x:c>
      <x:c r="R81" s="32" t="n">
        <x:f>IF(CHOOSE($D$4,ISNUMBER(R82),ISNUMBER(R83),ISNUMBER(R84)),CHOOSE($D$4,R82,R83,R84),"n.a.")</x:f>
        <x:v>189</x:v>
      </x:c>
      <x:c r="S81" s="32" t="n">
        <x:f>IF(CHOOSE($D$4,ISNUMBER(S82),ISNUMBER(S83),ISNUMBER(S84)),CHOOSE($D$4,S82,S83,S84),"n.a.")</x:f>
        <x:v>195</x:v>
      </x:c>
    </x:row>
    <x:row r="82" ht="20" customHeight="1">
      <x:c r="A82" s="3"/>
      <x:c r="B82" s="3"/>
      <x:c r="C82" s="3" t="str">
        <x:v>Pesymistyczny</x:v>
      </x:c>
      <x:c r="D82" s="33" t="n">
        <x:v>11</x:v>
      </x:c>
      <x:c r="E82" s="33" t="n">
        <x:v>48</x:v>
      </x:c>
      <x:c r="F82" s="33" t="n">
        <x:v>51</x:v>
      </x:c>
      <x:c r="G82" s="33" t="n">
        <x:v>56</x:v>
      </x:c>
      <x:c r="H82" s="33" t="n">
        <x:v>60</x:v>
      </x:c>
      <x:c r="I82" s="33" t="n">
        <x:v>63</x:v>
      </x:c>
      <x:c r="J82" s="33" t="n">
        <x:v>66</x:v>
      </x:c>
      <x:c r="K82" s="33" t="n">
        <x:v>69</x:v>
      </x:c>
      <x:c r="L82" s="33" t="n">
        <x:v>72</x:v>
      </x:c>
      <x:c r="M82" s="33" t="n">
        <x:v>75</x:v>
      </x:c>
      <x:c r="N82" s="33" t="n">
        <x:v>77</x:v>
      </x:c>
      <x:c r="O82" s="33" t="n">
        <x:v>78</x:v>
      </x:c>
      <x:c r="P82" s="33" t="n">
        <x:v>80</x:v>
      </x:c>
      <x:c r="Q82" s="33" t="n">
        <x:v>82</x:v>
      </x:c>
      <x:c r="R82" s="33" t="n">
        <x:v>83</x:v>
      </x:c>
      <x:c r="S82" s="33" t="n">
        <x:v>85</x:v>
      </x:c>
    </x:row>
    <x:row r="83" ht="20" customHeight="1">
      <x:c r="A83" s="3"/>
      <x:c r="B83" s="3"/>
      <x:c r="C83" s="3" t="str">
        <x:v>Bazowy</x:v>
      </x:c>
      <x:c r="D83" s="33" t="n">
        <x:v>14</x:v>
      </x:c>
      <x:c r="E83" s="33" t="n">
        <x:v>68</x:v>
      </x:c>
      <x:c r="F83" s="33" t="n">
        <x:v>77</x:v>
      </x:c>
      <x:c r="G83" s="33" t="n">
        <x:v>88</x:v>
      </x:c>
      <x:c r="H83" s="33" t="n">
        <x:v>100</x:v>
      </x:c>
      <x:c r="I83" s="33" t="n">
        <x:v>110</x:v>
      </x:c>
      <x:c r="J83" s="33" t="n">
        <x:v>121</x:v>
      </x:c>
      <x:c r="K83" s="33" t="n">
        <x:v>133</x:v>
      </x:c>
      <x:c r="L83" s="33" t="n">
        <x:v>146</x:v>
      </x:c>
      <x:c r="M83" s="33" t="n">
        <x:v>160</x:v>
      </x:c>
      <x:c r="N83" s="33" t="n">
        <x:v>165</x:v>
      </x:c>
      <x:c r="O83" s="33" t="n">
        <x:v>171</x:v>
      </x:c>
      <x:c r="P83" s="33" t="n">
        <x:v>177</x:v>
      </x:c>
      <x:c r="Q83" s="33" t="n">
        <x:v>183</x:v>
      </x:c>
      <x:c r="R83" s="33" t="n">
        <x:v>189</x:v>
      </x:c>
      <x:c r="S83" s="33" t="n">
        <x:v>195</x:v>
      </x:c>
    </x:row>
    <x:row r="84" ht="20" customHeight="1">
      <x:c r="A84" s="3"/>
      <x:c r="B84" s="3"/>
      <x:c r="C84" s="3" t="str">
        <x:v>Optymistyczny</x:v>
      </x:c>
      <x:c r="D84" s="33" t="n">
        <x:v>16</x:v>
      </x:c>
      <x:c r="E84" s="33" t="n">
        <x:v>89</x:v>
      </x:c>
      <x:c r="F84" s="33" t="n">
        <x:v>106</x:v>
      </x:c>
      <x:c r="G84" s="33" t="n">
        <x:v>126</x:v>
      </x:c>
      <x:c r="H84" s="33" t="n">
        <x:v>150</x:v>
      </x:c>
      <x:c r="I84" s="33" t="n">
        <x:v>167</x:v>
      </x:c>
      <x:c r="J84" s="33" t="n">
        <x:v>187</x:v>
      </x:c>
      <x:c r="K84" s="33" t="n">
        <x:v>209</x:v>
      </x:c>
      <x:c r="L84" s="33" t="n">
        <x:v>233</x:v>
      </x:c>
      <x:c r="M84" s="33" t="n">
        <x:v>260</x:v>
      </x:c>
      <x:c r="N84" s="33" t="n">
        <x:v>273</x:v>
      </x:c>
      <x:c r="O84" s="33" t="n">
        <x:v>287</x:v>
      </x:c>
      <x:c r="P84" s="33" t="n">
        <x:v>302</x:v>
      </x:c>
      <x:c r="Q84" s="33" t="n">
        <x:v>317</x:v>
      </x:c>
      <x:c r="R84" s="33" t="n">
        <x:v>333</x:v>
      </x:c>
      <x:c r="S84" s="33" t="n">
        <x:v>350</x:v>
      </x:c>
    </x:row>
    <x:row r="85" ht="20" customHeight="1">
      <x:c r="A85" s="3"/>
      <x:c r="B85" s="3"/>
      <x:c r="C85" s="17" t="str">
        <x:v>Przychód na start (USD mln) — aktywne</x:v>
      </x:c>
      <x:c r="D85" s="32" t="n">
        <x:f>IF(CHOOSE($D$4,ISNUMBER(D86),ISNUMBER(D87),ISNUMBER(D88)),CHOOSE($D$4,D86,D87,D88),"n.a.")</x:f>
        <x:v>78</x:v>
      </x:c>
      <x:c r="E85" s="32" t="n">
        <x:f>IF(CHOOSE($D$4,ISNUMBER(E86),ISNUMBER(E87),ISNUMBER(E88)),CHOOSE($D$4,E86,E87,E88),"n.a.")</x:f>
        <x:v>75.91812299442265</x:v>
      </x:c>
      <x:c r="F85" s="32" t="n">
        <x:f>IF(CHOOSE($D$4,ISNUMBER(F86),ISNUMBER(F87),ISNUMBER(F88)),CHOOSE($D$4,F86,F87,F88),"n.a.")</x:f>
        <x:v>73.89181280764467</x:v>
      </x:c>
      <x:c r="G85" s="32" t="n">
        <x:f>IF(CHOOSE($D$4,ISNUMBER(G86),ISNUMBER(G87),ISNUMBER(G88)),CHOOSE($D$4,G86,G87,G88),"n.a.")</x:f>
        <x:v>71.91958632066182</x:v>
      </x:c>
      <x:c r="H85" s="32" t="n">
        <x:f>IF(CHOOSE($D$4,ISNUMBER(H86),ISNUMBER(H87),ISNUMBER(H88)),CHOOSE($D$4,H86,H87,H88),"n.a.")</x:f>
        <x:v>70</x:v>
      </x:c>
      <x:c r="I85" s="32" t="n">
        <x:f>IF(CHOOSE($D$4,ISNUMBER(I86),ISNUMBER(I87),ISNUMBER(I88)),CHOOSE($D$4,I86,I87,I88),"n.a.")</x:f>
        <x:v>68.97013933163909</x:v>
      </x:c>
      <x:c r="J85" s="32" t="n">
        <x:f>IF(CHOOSE($D$4,ISNUMBER(J86),ISNUMBER(J87),ISNUMBER(J88)),CHOOSE($D$4,J86,J87,J88),"n.a.")</x:f>
        <x:v>67.95543027751013</x:v>
      </x:c>
      <x:c r="K85" s="32" t="n">
        <x:f>IF(CHOOSE($D$4,ISNUMBER(K86),ISNUMBER(K87),ISNUMBER(K88)),CHOOSE($D$4,K86,K87,K88),"n.a.")</x:f>
        <x:v>66.95564992259087</x:v>
      </x:c>
      <x:c r="L85" s="32" t="n">
        <x:f>IF(CHOOSE($D$4,ISNUMBER(L86),ISNUMBER(L87),ISNUMBER(L88)),CHOOSE($D$4,L86,L87,L88),"n.a.")</x:f>
        <x:v>65.97057863145059</x:v>
      </x:c>
      <x:c r="M85" s="32" t="n">
        <x:f>IF(CHOOSE($D$4,ISNUMBER(M86),ISNUMBER(M87),ISNUMBER(M88)),CHOOSE($D$4,M86,M87,M88),"n.a.")</x:f>
        <x:v>65</x:v>
      </x:c>
      <x:c r="N85" s="32" t="n">
        <x:f>IF(CHOOSE($D$4,ISNUMBER(N86),ISNUMBER(N87),ISNUMBER(N88)),CHOOSE($D$4,N86,N87,N88),"n.a.")</x:f>
        <x:v>64.13862898057167</x:v>
      </x:c>
      <x:c r="O85" s="32" t="n">
        <x:f>IF(CHOOSE($D$4,ISNUMBER(O86),ISNUMBER(O87),ISNUMBER(O88)),CHOOSE($D$4,O86,O87,O88),"n.a.")</x:f>
        <x:v>63.28867273088349</x:v>
      </x:c>
      <x:c r="P85" s="32" t="n">
        <x:f>IF(CHOOSE($D$4,ISNUMBER(P86),ISNUMBER(P87),ISNUMBER(P88)),CHOOSE($D$4,P86,P87,P88),"n.a.")</x:f>
        <x:v>62.44997998398399</x:v>
      </x:c>
      <x:c r="Q85" s="32" t="n">
        <x:f>IF(CHOOSE($D$4,ISNUMBER(Q86),ISNUMBER(Q87),ISNUMBER(Q88)),CHOOSE($D$4,Q86,Q87,Q88),"n.a.")</x:f>
        <x:v>61.622401477490385</x:v>
      </x:c>
      <x:c r="R85" s="32" t="n">
        <x:f>IF(CHOOSE($D$4,ISNUMBER(R86),ISNUMBER(R87),ISNUMBER(R88)),CHOOSE($D$4,R86,R87,R88),"n.a.")</x:f>
        <x:v>60.805789927024406</x:v>
      </x:c>
      <x:c r="S85" s="32" t="n">
        <x:f>IF(CHOOSE($D$4,ISNUMBER(S86),ISNUMBER(S87),ISNUMBER(S88)),CHOOSE($D$4,S86,S87,S88),"n.a.")</x:f>
        <x:v>60</x:v>
      </x:c>
    </x:row>
    <x:row r="86" ht="20" customHeight="1">
      <x:c r="A86" s="3"/>
      <x:c r="B86" s="3"/>
      <x:c r="C86" s="3" t="str">
        <x:v>Pesymistyczny</x:v>
      </x:c>
      <x:c r="D86" s="33" t="n">
        <x:v>75</x:v>
      </x:c>
      <x:c r="E86" s="33" t="n">
        <x:v>72.36428688526789</x:v>
      </x:c>
      <x:c r="F86" s="33" t="n">
        <x:v>69.82120021884471</x:v>
      </x:c>
      <x:c r="G86" s="33" t="n">
        <x:v>67.3674848441361</x:v>
      </x:c>
      <x:c r="H86" s="33" t="n">
        <x:v>65</x:v>
      </x:c>
      <x:c r="I86" s="33" t="n">
        <x:v>63.96772941867908</x:v>
      </x:c>
      <x:c r="J86" s="33" t="n">
        <x:v>62.95185241509755</x:v>
      </x:c>
      <x:c r="K86" s="33" t="n">
        <x:v>61.95210864143968</x:v>
      </x:c>
      <x:c r="L86" s="33" t="n">
        <x:v>60.96824188449575</x:v>
      </x:c>
      <x:c r="M86" s="33" t="n">
        <x:v>60</x:v>
      </x:c>
      <x:c r="N86" s="33" t="n">
        <x:v>59.13616499191399</x:v>
      </x:c>
      <x:c r="O86" s="33" t="n">
        <x:v>58.28476683251456</x:v>
      </x:c>
      <x:c r="P86" s="33" t="n">
        <x:v>57.445626465380286</x:v>
      </x:c>
      <x:c r="Q86" s="33" t="n">
        <x:v>56.618567412009824</x:v>
      </x:c>
      <x:c r="R86" s="33" t="n">
        <x:v>55.80341573470696</x:v>
      </x:c>
      <x:c r="S86" s="33" t="n">
        <x:v>55</x:v>
      </x:c>
    </x:row>
    <x:row r="87" ht="20" customHeight="1">
      <x:c r="A87" s="3"/>
      <x:c r="B87" s="3"/>
      <x:c r="C87" s="3" t="str">
        <x:v>Bazowy</x:v>
      </x:c>
      <x:c r="D87" s="33" t="n">
        <x:v>78</x:v>
      </x:c>
      <x:c r="E87" s="33" t="n">
        <x:v>75.91812299442265</x:v>
      </x:c>
      <x:c r="F87" s="33" t="n">
        <x:v>73.89181280764467</x:v>
      </x:c>
      <x:c r="G87" s="33" t="n">
        <x:v>71.91958632066182</x:v>
      </x:c>
      <x:c r="H87" s="33" t="n">
        <x:v>70</x:v>
      </x:c>
      <x:c r="I87" s="33" t="n">
        <x:v>68.97013933163909</x:v>
      </x:c>
      <x:c r="J87" s="33" t="n">
        <x:v>67.95543027751013</x:v>
      </x:c>
      <x:c r="K87" s="33" t="n">
        <x:v>66.95564992259087</x:v>
      </x:c>
      <x:c r="L87" s="33" t="n">
        <x:v>65.97057863145059</x:v>
      </x:c>
      <x:c r="M87" s="33" t="n">
        <x:v>65</x:v>
      </x:c>
      <x:c r="N87" s="33" t="n">
        <x:v>64.13862898057167</x:v>
      </x:c>
      <x:c r="O87" s="33" t="n">
        <x:v>63.28867273088349</x:v>
      </x:c>
      <x:c r="P87" s="33" t="n">
        <x:v>62.44997998398399</x:v>
      </x:c>
      <x:c r="Q87" s="33" t="n">
        <x:v>61.622401477490385</x:v>
      </x:c>
      <x:c r="R87" s="33" t="n">
        <x:v>60.805789927024406</x:v>
      </x:c>
      <x:c r="S87" s="33" t="n">
        <x:v>60</x:v>
      </x:c>
    </x:row>
    <x:row r="88" ht="20" customHeight="1">
      <x:c r="A88" s="3"/>
      <x:c r="B88" s="3"/>
      <x:c r="C88" s="3" t="str">
        <x:v>Optymistyczny</x:v>
      </x:c>
      <x:c r="D88" s="33" t="n">
        <x:v>80</x:v>
      </x:c>
      <x:c r="E88" s="33" t="n">
        <x:v>78.71958685061722</x:v>
      </x:c>
      <x:c r="F88" s="33" t="n">
        <x:v>77.45966692414834</x:v>
      </x:c>
      <x:c r="G88" s="33" t="n">
        <x:v>76.21991222319221</x:v>
      </x:c>
      <x:c r="H88" s="33" t="n">
        <x:v>75</x:v>
      </x:c>
      <x:c r="I88" s="33" t="n">
        <x:v>73.9722142244272</x:v>
      </x:c>
      <x:c r="J88" s="33" t="n">
        <x:v>72.95851303019401</x:v>
      </x:c>
      <x:c r="K88" s="33" t="n">
        <x:v>71.95870340486898</x:v>
      </x:c>
      <x:c r="L88" s="33" t="n">
        <x:v>70.97259498102652</x:v>
      </x:c>
      <x:c r="M88" s="33" t="n">
        <x:v>70</x:v>
      </x:c>
      <x:c r="N88" s="33" t="n">
        <x:v>69.14072451242488</x:v>
      </x:c>
      <x:c r="O88" s="33" t="n">
        <x:v>68.29199694432901</x:v>
      </x:c>
      <x:c r="P88" s="33" t="n">
        <x:v>67.45368781616021</x:v>
      </x:c>
      <x:c r="Q88" s="33" t="n">
        <x:v>66.62566923777491</x:v>
      </x:c>
      <x:c r="R88" s="33" t="n">
        <x:v>65.80781488892767</x:v>
      </x:c>
      <x:c r="S88" s="33" t="n">
        <x:v>65</x:v>
      </x:c>
    </x:row>
    <x:row r="89" ht="20" customHeight="1">
      <x:c r="A89" s="3"/>
      <x:c r="B89" s="3"/>
      <x:c r="C89" s="17" t="str">
        <x:v>Programy rozwojowe (USD mln/rok) — aktywne</x:v>
      </x:c>
      <x:c r="D89" s="32" t="n">
        <x:f>IF(CHOOSE($D$4,ISNUMBER(D90),ISNUMBER(D91),ISNUMBER(D92)),CHOOSE($D$4,D90,D91,D92),"n.a.")</x:f>
        <x:v>2500</x:v>
      </x:c>
      <x:c r="E89" s="32" t="n">
        <x:f>IF(CHOOSE($D$4,ISNUMBER(E90),ISNUMBER(E91),ISNUMBER(E92)),CHOOSE($D$4,E90,E91,E92),"n.a.")</x:f>
        <x:v>2895.730463220673</x:v>
      </x:c>
      <x:c r="F89" s="32" t="n">
        <x:f>IF(CHOOSE($D$4,ISNUMBER(F90),ISNUMBER(F91),ISNUMBER(F92)),CHOOSE($D$4,F90,F91,F92),"n.a.")</x:f>
        <x:v>3354.1019662496847</x:v>
      </x:c>
      <x:c r="G89" s="32" t="n">
        <x:f>IF(CHOOSE($D$4,ISNUMBER(G90),ISNUMBER(G91),ISNUMBER(G92)),CHOOSE($D$4,G90,G91,G92),"n.a.")</x:f>
        <x:v>3885.030096167027</x:v>
      </x:c>
      <x:c r="H89" s="32" t="n">
        <x:f>IF(CHOOSE($D$4,ISNUMBER(H90),ISNUMBER(H91),ISNUMBER(H92)),CHOOSE($D$4,H90,H91,H92),"n.a.")</x:f>
        <x:v>4500</x:v>
      </x:c>
      <x:c r="I89" s="32" t="n">
        <x:f>IF(CHOOSE($D$4,ISNUMBER(I90),ISNUMBER(I91),ISNUMBER(I92)),CHOOSE($D$4,I90,I91,I92),"n.a.")</x:f>
        <x:v>4766.507284719655</x:v>
      </x:c>
      <x:c r="J89" s="32" t="n">
        <x:f>IF(CHOOSE($D$4,ISNUMBER(J90),ISNUMBER(J91),ISNUMBER(J92)),CHOOSE($D$4,J90,J91,J92),"n.a.")</x:f>
        <x:v>5048.798154507898</x:v>
      </x:c>
      <x:c r="K89" s="32" t="n">
        <x:f>IF(CHOOSE($D$4,ISNUMBER(K90),ISNUMBER(K91),ISNUMBER(K92)),CHOOSE($D$4,K90,K91,K92),"n.a.")</x:f>
        <x:v>5347.80737389801</x:v>
      </x:c>
      <x:c r="L89" s="32" t="n">
        <x:f>IF(CHOOSE($D$4,ISNUMBER(L90),ISNUMBER(L91),ISNUMBER(L92)),CHOOSE($D$4,L90,L91,L92),"n.a.")</x:f>
        <x:v>5664.525067769411</x:v>
      </x:c>
      <x:c r="M89" s="32" t="n">
        <x:f>IF(CHOOSE($D$4,ISNUMBER(M90),ISNUMBER(M91),ISNUMBER(M92)),CHOOSE($D$4,M90,M91,M92),"n.a.")</x:f>
        <x:v>6000</x:v>
      </x:c>
      <x:c r="N89" s="32" t="n">
        <x:f>IF(CHOOSE($D$4,ISNUMBER(N90),ISNUMBER(N91),ISNUMBER(N92)),CHOOSE($D$4,N90,N91,N92),"n.a.")</x:f>
        <x:v>6227.34489333728</x:v>
      </x:c>
      <x:c r="O89" s="32" t="n">
        <x:f>IF(CHOOSE($D$4,ISNUMBER(O90),ISNUMBER(O91),ISNUMBER(O92)),CHOOSE($D$4,O90,O91,O92),"n.a.")</x:f>
        <x:v>6463.304070095652</x:v>
      </x:c>
      <x:c r="P89" s="32" t="n">
        <x:f>IF(CHOOSE($D$4,ISNUMBER(P90),ISNUMBER(P91),ISNUMBER(P92)),CHOOSE($D$4,P90,P91,P92),"n.a.")</x:f>
        <x:v>6708.203932499369</x:v>
      </x:c>
      <x:c r="Q89" s="32" t="n">
        <x:f>IF(CHOOSE($D$4,ISNUMBER(Q90),ISNUMBER(Q91),ISNUMBER(Q92)),CHOOSE($D$4,Q90,Q91,Q92),"n.a.")</x:f>
        <x:v>6962.383250419169</x:v>
      </x:c>
      <x:c r="R89" s="32" t="n">
        <x:f>IF(CHOOSE($D$4,ISNUMBER(R90),ISNUMBER(R91),ISNUMBER(R92)),CHOOSE($D$4,R90,R91,R92),"n.a.")</x:f>
        <x:v>7226.193629992471</x:v>
      </x:c>
      <x:c r="S89" s="32" t="n">
        <x:f>IF(CHOOSE($D$4,ISNUMBER(S90),ISNUMBER(S91),ISNUMBER(S92)),CHOOSE($D$4,S90,S91,S92),"n.a.")</x:f>
        <x:v>7500</x:v>
      </x:c>
    </x:row>
    <x:row r="90" ht="20" customHeight="1">
      <x:c r="A90" s="3"/>
      <x:c r="B90" s="3"/>
      <x:c r="C90" s="3" t="str">
        <x:v>Pesymistyczny</x:v>
      </x:c>
      <x:c r="D90" s="33" t="n">
        <x:v>1800</x:v>
      </x:c>
      <x:c r="E90" s="33" t="n">
        <x:v>2010.2213753007047</x:v>
      </x:c>
      <x:c r="F90" s="33" t="n">
        <x:v>2244.9944320643644</x:v>
      </x:c>
      <x:c r="G90" s="33" t="n">
        <x:v>2507.186552648251</x:v>
      </x:c>
      <x:c r="H90" s="33" t="n">
        <x:v>2800</x:v>
      </x:c>
      <x:c r="I90" s="33" t="n">
        <x:v>2927.790747255565</x:v>
      </x:c>
      <x:c r="J90" s="33" t="n">
        <x:v>3061.4138070411786</x:v>
      </x:c>
      <x:c r="K90" s="33" t="n">
        <x:v>3201.135363491285</x:v>
      </x:c>
      <x:c r="L90" s="33" t="n">
        <x:v>3347.2337492651295</x:v>
      </x:c>
      <x:c r="M90" s="33" t="n">
        <x:v>3500</x:v>
      </x:c>
      <x:c r="N90" s="33" t="n">
        <x:v>3578.7665452052606</x:v>
      </x:c>
      <x:c r="O90" s="33" t="n">
        <x:v>3659.305710022971</x:v>
      </x:c>
      <x:c r="P90" s="33" t="n">
        <x:v>3741.6573867739417</x:v>
      </x:c>
      <x:c r="Q90" s="33" t="n">
        <x:v>3825.8623655447777</x:v>
      </x:c>
      <x:c r="R90" s="33" t="n">
        <x:v>3911.9623543918606</x:v>
      </x:c>
      <x:c r="S90" s="33" t="n">
        <x:v>4000</x:v>
      </x:c>
    </x:row>
    <x:row r="91" ht="20" customHeight="1">
      <x:c r="A91" s="3"/>
      <x:c r="B91" s="3"/>
      <x:c r="C91" s="3" t="str">
        <x:v>Bazowy</x:v>
      </x:c>
      <x:c r="D91" s="33" t="n">
        <x:v>2500</x:v>
      </x:c>
      <x:c r="E91" s="33" t="n">
        <x:v>2895.730463220673</x:v>
      </x:c>
      <x:c r="F91" s="33" t="n">
        <x:v>3354.1019662496847</x:v>
      </x:c>
      <x:c r="G91" s="33" t="n">
        <x:v>3885.030096167027</x:v>
      </x:c>
      <x:c r="H91" s="33" t="n">
        <x:v>4500</x:v>
      </x:c>
      <x:c r="I91" s="33" t="n">
        <x:v>4766.507284719655</x:v>
      </x:c>
      <x:c r="J91" s="33" t="n">
        <x:v>5048.798154507898</x:v>
      </x:c>
      <x:c r="K91" s="33" t="n">
        <x:v>5347.80737389801</x:v>
      </x:c>
      <x:c r="L91" s="33" t="n">
        <x:v>5664.525067769411</x:v>
      </x:c>
      <x:c r="M91" s="33" t="n">
        <x:v>6000</x:v>
      </x:c>
      <x:c r="N91" s="33" t="n">
        <x:v>6227.34489333728</x:v>
      </x:c>
      <x:c r="O91" s="33" t="n">
        <x:v>6463.304070095652</x:v>
      </x:c>
      <x:c r="P91" s="33" t="n">
        <x:v>6708.203932499369</x:v>
      </x:c>
      <x:c r="Q91" s="33" t="n">
        <x:v>6962.383250419169</x:v>
      </x:c>
      <x:c r="R91" s="33" t="n">
        <x:v>7226.193629992471</x:v>
      </x:c>
      <x:c r="S91" s="33" t="n">
        <x:v>7500</x:v>
      </x:c>
    </x:row>
    <x:row r="92" ht="20" customHeight="1">
      <x:c r="A92" s="3"/>
      <x:c r="B92" s="3"/>
      <x:c r="C92" s="3" t="str">
        <x:v>Optymistyczny</x:v>
      </x:c>
      <x:c r="D92" s="33" t="n">
        <x:v>3000</x:v>
      </x:c>
      <x:c r="E92" s="33" t="n">
        <x:v>3707.792751067341</x:v>
      </x:c>
      <x:c r="F92" s="33" t="n">
        <x:v>4582.57569495584</x:v>
      </x:c>
      <x:c r="G92" s="33" t="n">
        <x:v>5663.746980991549</x:v>
      </x:c>
      <x:c r="H92" s="33" t="n">
        <x:v>7000</x:v>
      </x:c>
      <x:c r="I92" s="33" t="n">
        <x:v>7796.7692502201535</x:v>
      </x:c>
      <x:c r="J92" s="33" t="n">
        <x:v>8684.230105882645</x:v>
      </x:c>
      <x:c r="K92" s="33" t="n">
        <x:v>9672.705464483131</x:v>
      </x:c>
      <x:c r="L92" s="33" t="n">
        <x:v>10773.693218845503</x:v>
      </x:c>
      <x:c r="M92" s="33" t="n">
        <x:v>12000</x:v>
      </x:c>
      <x:c r="N92" s="33" t="n">
        <x:v>12717.229982167028</x:v>
      </x:c>
      <x:c r="O92" s="33" t="n">
        <x:v>13477.328201610666</x:v>
      </x:c>
      <x:c r="P92" s="33" t="n">
        <x:v>14282.8568570857</x:v>
      </x:c>
      <x:c r="Q92" s="33" t="n">
        <x:v>15136.531287827516</x:v>
      </x:c>
      <x:c r="R92" s="33" t="n">
        <x:v>16041.229126630784</x:v>
      </x:c>
      <x:c r="S92" s="33" t="n">
        <x:v>17000</x:v>
      </x:c>
    </x:row>
    <x:row r="93" ht="20" customHeight="1">
      <x:c r="A93" s="3"/>
      <x:c r="B93" s="3"/>
      <x:c r="C93" s="17" t="str">
        <x:v>Space: gotówkowe R&amp;D (USD mln/rok) — aktywne</x:v>
      </x:c>
      <x:c r="D93" s="32" t="n">
        <x:f>IF(CHOOSE($D$4,ISNUMBER(D94),ISNUMBER(D95),ISNUMBER(D96)),CHOOSE($D$4,D94,D95,D96),"n.a.")</x:f>
        <x:v>5000</x:v>
      </x:c>
      <x:c r="E93" s="32" t="n">
        <x:f>IF(CHOOSE($D$4,ISNUMBER(E94),ISNUMBER(E95),ISNUMBER(E96)),CHOOSE($D$4,E94,E95,E96),"n.a.")</x:f>
        <x:v>5233.1756969605285</x:v>
      </x:c>
      <x:c r="F93" s="32" t="n">
        <x:f>IF(CHOOSE($D$4,ISNUMBER(F94),ISNUMBER(F95),ISNUMBER(F96)),CHOOSE($D$4,F94,F95,F96),"n.a.")</x:f>
        <x:v>5477.225575051661</x:v>
      </x:c>
      <x:c r="G93" s="32" t="n">
        <x:f>IF(CHOOSE($D$4,ISNUMBER(G94),ISNUMBER(G95),ISNUMBER(G96)),CHOOSE($D$4,G94,G95,G96),"n.a.")</x:f>
        <x:v>5732.656753226201</x:v>
      </x:c>
      <x:c r="H93" s="32" t="n">
        <x:f>IF(CHOOSE($D$4,ISNUMBER(H94),ISNUMBER(H95),ISNUMBER(H96)),CHOOSE($D$4,H94,H95,H96),"n.a.")</x:f>
        <x:v>6000</x:v>
      </x:c>
      <x:c r="I93" s="32" t="n">
        <x:f>IF(CHOOSE($D$4,ISNUMBER(I94),ISNUMBER(I95),ISNUMBER(I96)),CHOOSE($D$4,I94,I95,I96),"n.a.")</x:f>
        <x:v>6039.477090586008</x:v>
      </x:c>
      <x:c r="J93" s="32" t="n">
        <x:f>IF(CHOOSE($D$4,ISNUMBER(J94),ISNUMBER(J95),ISNUMBER(J96)),CHOOSE($D$4,J94,J95,J96),"n.a.")</x:f>
        <x:v>6079.213921285537</x:v>
      </x:c>
      <x:c r="K93" s="32" t="n">
        <x:f>IF(CHOOSE($D$4,ISNUMBER(K94),ISNUMBER(K95),ISNUMBER(K96)),CHOOSE($D$4,K94,K95,K96),"n.a.")</x:f>
        <x:v>6119.212201062588</x:v>
      </x:c>
      <x:c r="L93" s="32" t="n">
        <x:f>IF(CHOOSE($D$4,ISNUMBER(L94),ISNUMBER(L95),ISNUMBER(L96)),CHOOSE($D$4,L94,L95,L96),"n.a.")</x:f>
        <x:v>6159.473650125313</x:v>
      </x:c>
      <x:c r="M93" s="32" t="n">
        <x:f>IF(CHOOSE($D$4,ISNUMBER(M94),ISNUMBER(M95),ISNUMBER(M96)),CHOOSE($D$4,M94,M95,M96),"n.a.")</x:f>
        <x:v>6200.000000000001</x:v>
      </x:c>
      <x:c r="N93" s="32" t="n">
        <x:f>IF(CHOOSE($D$4,ISNUMBER(N94),ISNUMBER(N95),ISNUMBER(N96)),CHOOSE($D$4,N94,N95,N96),"n.a.")</x:f>
        <x:v>6249.020758665851</x:v>
      </x:c>
      <x:c r="O93" s="32" t="n">
        <x:f>IF(CHOOSE($D$4,ISNUMBER(O94),ISNUMBER(O95),ISNUMBER(O96)),CHOOSE($D$4,O94,O95,O96),"n.a.")</x:f>
        <x:v>6298.429103586569</x:v>
      </x:c>
      <x:c r="P93" s="32" t="n">
        <x:f>IF(CHOOSE($D$4,ISNUMBER(P94),ISNUMBER(P95),ISNUMBER(P96)),CHOOSE($D$4,P94,P95,P96),"n.a.")</x:f>
        <x:v>6348.228099241551</x:v>
      </x:c>
      <x:c r="Q93" s="32" t="n">
        <x:f>IF(CHOOSE($D$4,ISNUMBER(Q94),ISNUMBER(Q95),ISNUMBER(Q96)),CHOOSE($D$4,Q94,Q95,Q96),"n.a.")</x:f>
        <x:v>6398.420834339728</x:v>
      </x:c>
      <x:c r="R93" s="32" t="n">
        <x:f>IF(CHOOSE($D$4,ISNUMBER(R94),ISNUMBER(R95),ISNUMBER(R96)),CHOOSE($D$4,R94,R95,R96),"n.a.")</x:f>
        <x:v>6449.010422011135</x:v>
      </x:c>
      <x:c r="S93" s="32" t="n">
        <x:f>IF(CHOOSE($D$4,ISNUMBER(S94),ISNUMBER(S95),ISNUMBER(S96)),CHOOSE($D$4,S94,S95,S96),"n.a.")</x:f>
        <x:v>6500</x:v>
      </x:c>
    </x:row>
    <x:row r="94" ht="20" customHeight="1">
      <x:c r="A94" s="3"/>
      <x:c r="B94" s="3"/>
      <x:c r="C94" s="3" t="str">
        <x:v>Pesymistyczny</x:v>
      </x:c>
      <x:c r="D94" s="33" t="n">
        <x:v>5600</x:v>
      </x:c>
      <x:c r="E94" s="33" t="n">
        <x:v>5812.58557003304</x:v>
      </x:c>
      <x:c r="F94" s="33" t="n">
        <x:v>6033.241251599343</x:v>
      </x:c>
      <x:c r="G94" s="33" t="n">
        <x:v>6262.273399924004</x:v>
      </x:c>
      <x:c r="H94" s="33" t="n">
        <x:v>6500.000000000001</x:v>
      </x:c>
      <x:c r="I94" s="33" t="n">
        <x:v>6597.057863145059</x:v>
      </x:c>
      <x:c r="J94" s="33" t="n">
        <x:v>6695.564992259086</x:v>
      </x:c>
      <x:c r="K94" s="33" t="n">
        <x:v>6795.543027751013</x:v>
      </x:c>
      <x:c r="L94" s="33" t="n">
        <x:v>6897.013933163909</x:v>
      </x:c>
      <x:c r="M94" s="33" t="n">
        <x:v>7000</x:v>
      </x:c>
      <x:c r="N94" s="33" t="n">
        <x:v>7080.956241680699</x:v>
      </x:c>
      <x:c r="O94" s="33" t="n">
        <x:v>7162.848756656692</x:v>
      </x:c>
      <x:c r="P94" s="33" t="n">
        <x:v>7245.688373094719</x:v>
      </x:c>
      <x:c r="Q94" s="33" t="n">
        <x:v>7329.486044391188</x:v>
      </x:c>
      <x:c r="R94" s="33" t="n">
        <x:v>7414.25285062048</x:v>
      </x:c>
      <x:c r="S94" s="33" t="n">
        <x:v>7500</x:v>
      </x:c>
    </x:row>
    <x:row r="95" ht="20" customHeight="1">
      <x:c r="A95" s="3"/>
      <x:c r="B95" s="3"/>
      <x:c r="C95" s="3" t="str">
        <x:v>Bazowy</x:v>
      </x:c>
      <x:c r="D95" s="33" t="n">
        <x:v>5000</x:v>
      </x:c>
      <x:c r="E95" s="33" t="n">
        <x:v>5233.1756969605285</x:v>
      </x:c>
      <x:c r="F95" s="33" t="n">
        <x:v>5477.225575051661</x:v>
      </x:c>
      <x:c r="G95" s="33" t="n">
        <x:v>5732.656753226201</x:v>
      </x:c>
      <x:c r="H95" s="33" t="n">
        <x:v>6000</x:v>
      </x:c>
      <x:c r="I95" s="33" t="n">
        <x:v>6039.477090586008</x:v>
      </x:c>
      <x:c r="J95" s="33" t="n">
        <x:v>6079.213921285537</x:v>
      </x:c>
      <x:c r="K95" s="33" t="n">
        <x:v>6119.212201062588</x:v>
      </x:c>
      <x:c r="L95" s="33" t="n">
        <x:v>6159.473650125313</x:v>
      </x:c>
      <x:c r="M95" s="33" t="n">
        <x:v>6200.000000000001</x:v>
      </x:c>
      <x:c r="N95" s="33" t="n">
        <x:v>6249.020758665851</x:v>
      </x:c>
      <x:c r="O95" s="33" t="n">
        <x:v>6298.429103586569</x:v>
      </x:c>
      <x:c r="P95" s="33" t="n">
        <x:v>6348.228099241551</x:v>
      </x:c>
      <x:c r="Q95" s="33" t="n">
        <x:v>6398.420834339728</x:v>
      </x:c>
      <x:c r="R95" s="33" t="n">
        <x:v>6449.010422011135</x:v>
      </x:c>
      <x:c r="S95" s="33" t="n">
        <x:v>6500</x:v>
      </x:c>
    </x:row>
    <x:row r="96" ht="20" customHeight="1">
      <x:c r="A96" s="3"/>
      <x:c r="B96" s="3"/>
      <x:c r="C96" s="3" t="str">
        <x:v>Optymistyczny</x:v>
      </x:c>
      <x:c r="D96" s="33" t="n">
        <x:v>4800</x:v>
      </x:c>
      <x:c r="E96" s="33" t="n">
        <x:v>4966.170209632071</x:v>
      </x:c>
      <x:c r="F96" s="33" t="n">
        <x:v>5138.093031466052</x:v>
      </x:c>
      <x:c r="G96" s="33" t="n">
        <x:v>5315.967613996842</x:v>
      </x:c>
      <x:c r="H96" s="33" t="n">
        <x:v>5500</x:v>
      </x:c>
      <x:c r="I96" s="33" t="n">
        <x:v>5596.550174465732</x:v>
      </x:c>
      <x:c r="J96" s="33" t="n">
        <x:v>5694.795246420437</x:v>
      </x:c>
      <x:c r="K96" s="33" t="n">
        <x:v>5794.764969072894</x:v>
      </x:c>
      <x:c r="L96" s="33" t="n">
        <x:v>5896.489617936875</x:v>
      </x:c>
      <x:c r="M96" s="33" t="n">
        <x:v>6000</x:v>
      </x:c>
      <x:c r="N96" s="33" t="n">
        <x:v>6080.578992702441</x:v>
      </x:c>
      <x:c r="O96" s="33" t="n">
        <x:v>6162.240147749038</x:v>
      </x:c>
      <x:c r="P96" s="33" t="n">
        <x:v>6244.997998398398</x:v>
      </x:c>
      <x:c r="Q96" s="33" t="n">
        <x:v>6328.867273088348</x:v>
      </x:c>
      <x:c r="R96" s="33" t="n">
        <x:v>6413.862898057165</x:v>
      </x:c>
      <x:c r="S96" s="33" t="n">
        <x:v>6500</x:v>
      </x:c>
    </x:row>
    <x:row r="97" ht="20" customHeight="1">
      <x:c r="A97" s="3"/>
      <x:c r="B97" s="3"/>
      <x:c r="C97" s="17" t="str">
        <x:v>Space: capex (USD mln/rok) — aktywne</x:v>
      </x:c>
      <x:c r="D97" s="32" t="n">
        <x:f>IF(CHOOSE($D$4,ISNUMBER(D98),ISNUMBER(D99),ISNUMBER(D100)),CHOOSE($D$4,D98,D99,D100),"n.a.")</x:f>
        <x:v>5000</x:v>
      </x:c>
      <x:c r="E97" s="32" t="n">
        <x:f>IF(CHOOSE($D$4,ISNUMBER(E98),ISNUMBER(E99),ISNUMBER(E100)),CHOOSE($D$4,E98,E99,E100),"n.a.")</x:f>
        <x:v>4728.708045015879</x:v>
      </x:c>
      <x:c r="F97" s="32" t="n">
        <x:f>IF(CHOOSE($D$4,ISNUMBER(F98),ISNUMBER(F99),ISNUMBER(F100)),CHOOSE($D$4,F98,F99,F100),"n.a.")</x:f>
        <x:v>4472.13595499958</x:v>
      </x:c>
      <x:c r="G97" s="32" t="n">
        <x:f>IF(CHOOSE($D$4,ISNUMBER(G98),ISNUMBER(G99),ISNUMBER(G100)),CHOOSE($D$4,G98,G99,G100),"n.a.")</x:f>
        <x:v>4229.485053762257</x:v>
      </x:c>
      <x:c r="H97" s="32" t="n">
        <x:f>IF(CHOOSE($D$4,ISNUMBER(H98),ISNUMBER(H99),ISNUMBER(H100)),CHOOSE($D$4,H98,H99,H100),"n.a.")</x:f>
        <x:v>4000</x:v>
      </x:c>
      <x:c r="I97" s="32" t="n">
        <x:f>IF(CHOOSE($D$4,ISNUMBER(I98),ISNUMBER(I99),ISNUMBER(I100)),CHOOSE($D$4,I98,I99,I100),"n.a.")</x:f>
        <x:v>3894.588722460672</x:v>
      </x:c>
      <x:c r="J97" s="32" t="n">
        <x:f>IF(CHOOSE($D$4,ISNUMBER(J98),ISNUMBER(J99),ISNUMBER(J100)),CHOOSE($D$4,J98,J99,J100),"n.a.")</x:f>
        <x:v>3791.9553292794635</x:v>
      </x:c>
      <x:c r="K97" s="32" t="n">
        <x:f>IF(CHOOSE($D$4,ISNUMBER(K98),ISNUMBER(K99),ISNUMBER(K100)),CHOOSE($D$4,K98,K99,K100),"n.a.")</x:f>
        <x:v>3692.026615371611</x:v>
      </x:c>
      <x:c r="L97" s="32" t="n">
        <x:f>IF(CHOOSE($D$4,ISNUMBER(L98),ISNUMBER(L99),ISNUMBER(L100)),CHOOSE($D$4,L98,L99,L100),"n.a.")</x:f>
        <x:v>3594.7313048127307</x:v>
      </x:c>
      <x:c r="M97" s="32" t="n">
        <x:f>IF(CHOOSE($D$4,ISNUMBER(M98),ISNUMBER(M99),ISNUMBER(M100)),CHOOSE($D$4,M98,M99,M100),"n.a.")</x:f>
        <x:v>3500</x:v>
      </x:c>
      <x:c r="N97" s="32" t="n">
        <x:f>IF(CHOOSE($D$4,ISNUMBER(N98),ISNUMBER(N99),ISNUMBER(N100)),CHOOSE($D$4,N98,N99,N100),"n.a.")</x:f>
        <x:v>3448.1146682923227</x:v>
      </x:c>
      <x:c r="O97" s="32" t="n">
        <x:f>IF(CHOOSE($D$4,ISNUMBER(O98),ISNUMBER(O99),ISNUMBER(O100)),CHOOSE($D$4,O98,O99,O100),"n.a.")</x:f>
        <x:v>3396.998504483621</x:v>
      </x:c>
      <x:c r="P97" s="32" t="n">
        <x:f>IF(CHOOSE($D$4,ISNUMBER(P98),ISNUMBER(P99),ISNUMBER(P100)),CHOOSE($D$4,P98,P99,P100),"n.a.")</x:f>
        <x:v>3346.640106136302</x:v>
      </x:c>
      <x:c r="Q97" s="32" t="n">
        <x:f>IF(CHOOSE($D$4,ISNUMBER(Q98),ISNUMBER(Q99),ISNUMBER(Q100)),CHOOSE($D$4,Q98,Q99,Q100),"n.a.")</x:f>
        <x:v>3297.0282398468457</x:v>
      </x:c>
      <x:c r="R97" s="32" t="n">
        <x:f>IF(CHOOSE($D$4,ISNUMBER(R98),ISNUMBER(R99),ISNUMBER(R100)),CHOOSE($D$4,R98,R99,R100),"n.a.")</x:f>
        <x:v>3248.1518387399788</x:v>
      </x:c>
      <x:c r="S97" s="32" t="n">
        <x:f>IF(CHOOSE($D$4,ISNUMBER(S98),ISNUMBER(S99),ISNUMBER(S100)),CHOOSE($D$4,S98,S99,S100),"n.a.")</x:f>
        <x:v>3200</x:v>
      </x:c>
    </x:row>
    <x:row r="98" ht="20" customHeight="1">
      <x:c r="A98" s="3"/>
      <x:c r="B98" s="3"/>
      <x:c r="C98" s="3" t="str">
        <x:v>Pesymistyczny</x:v>
      </x:c>
      <x:c r="D98" s="33" t="n">
        <x:v>6000</x:v>
      </x:c>
      <x:c r="E98" s="33" t="n">
        <x:v>5732.656753226201</x:v>
      </x:c>
      <x:c r="F98" s="33" t="n">
        <x:v>5477.2255750516615</x:v>
      </x:c>
      <x:c r="G98" s="33" t="n">
        <x:v>5233.175696960528</x:v>
      </x:c>
      <x:c r="H98" s="33" t="n">
        <x:v>5000</x:v>
      </x:c>
      <x:c r="I98" s="33" t="n">
        <x:v>4781.762498950185</x:v>
      </x:c>
      <x:c r="J98" s="33" t="n">
        <x:v>4573.0505192732635</x:v>
      </x:c>
      <x:c r="K98" s="33" t="n">
        <x:v>4373.4482957731125</x:v>
      </x:c>
      <x:c r="L98" s="33" t="n">
        <x:v>4182.558210365093</x:v>
      </x:c>
      <x:c r="M98" s="33" t="n">
        <x:v>4000</x:v>
      </x:c>
      <x:c r="N98" s="33" t="n">
        <x:v>3911.962354391861</x:v>
      </x:c>
      <x:c r="O98" s="33" t="n">
        <x:v>3825.862365544778</x:v>
      </x:c>
      <x:c r="P98" s="33" t="n">
        <x:v>3741.657386773941</x:v>
      </x:c>
      <x:c r="Q98" s="33" t="n">
        <x:v>3659.305710022971</x:v>
      </x:c>
      <x:c r="R98" s="33" t="n">
        <x:v>3578.766545205261</x:v>
      </x:c>
      <x:c r="S98" s="33" t="n">
        <x:v>3500</x:v>
      </x:c>
    </x:row>
    <x:row r="99" ht="20" customHeight="1">
      <x:c r="A99" s="3"/>
      <x:c r="B99" s="3"/>
      <x:c r="C99" s="3" t="str">
        <x:v>Bazowy</x:v>
      </x:c>
      <x:c r="D99" s="33" t="n">
        <x:v>5000</x:v>
      </x:c>
      <x:c r="E99" s="33" t="n">
        <x:v>4728.708045015879</x:v>
      </x:c>
      <x:c r="F99" s="33" t="n">
        <x:v>4472.13595499958</x:v>
      </x:c>
      <x:c r="G99" s="33" t="n">
        <x:v>4229.485053762257</x:v>
      </x:c>
      <x:c r="H99" s="33" t="n">
        <x:v>4000</x:v>
      </x:c>
      <x:c r="I99" s="33" t="n">
        <x:v>3894.588722460672</x:v>
      </x:c>
      <x:c r="J99" s="33" t="n">
        <x:v>3791.9553292794635</x:v>
      </x:c>
      <x:c r="K99" s="33" t="n">
        <x:v>3692.026615371611</x:v>
      </x:c>
      <x:c r="L99" s="33" t="n">
        <x:v>3594.7313048127307</x:v>
      </x:c>
      <x:c r="M99" s="33" t="n">
        <x:v>3500</x:v>
      </x:c>
      <x:c r="N99" s="33" t="n">
        <x:v>3448.1146682923227</x:v>
      </x:c>
      <x:c r="O99" s="33" t="n">
        <x:v>3396.998504483621</x:v>
      </x:c>
      <x:c r="P99" s="33" t="n">
        <x:v>3346.640106136302</x:v>
      </x:c>
      <x:c r="Q99" s="33" t="n">
        <x:v>3297.0282398468457</x:v>
      </x:c>
      <x:c r="R99" s="33" t="n">
        <x:v>3248.1518387399788</x:v>
      </x:c>
      <x:c r="S99" s="33" t="n">
        <x:v>3200</x:v>
      </x:c>
    </x:row>
    <x:row r="100" ht="20" customHeight="1">
      <x:c r="A100" s="3"/>
      <x:c r="B100" s="3"/>
      <x:c r="C100" s="3" t="str">
        <x:v>Optymistyczny</x:v>
      </x:c>
      <x:c r="D100" s="33" t="n">
        <x:v>5000</x:v>
      </x:c>
      <x:c r="E100" s="33" t="n">
        <x:v>4870.018732126484</x:v>
      </x:c>
      <x:c r="F100" s="33" t="n">
        <x:v>4743.416490252569</x:v>
      </x:c>
      <x:c r="G100" s="33" t="n">
        <x:v>4620.105432361534</x:v>
      </x:c>
      <x:c r="H100" s="33" t="n">
        <x:v>4500</x:v>
      </x:c>
      <x:c r="I100" s="33" t="n">
        <x:v>4395.234077375282</x:v>
      </x:c>
      <x:c r="J100" s="33" t="n">
        <x:v>4292.907243315766</x:v>
      </x:c>
      <x:c r="K100" s="33" t="n">
        <x:v>4192.962712629475</x:v>
      </x:c>
      <x:c r="L100" s="33" t="n">
        <x:v>4095.3450221584385</x:v>
      </x:c>
      <x:c r="M100" s="33" t="n">
        <x:v>4000</x:v>
      </x:c>
      <x:c r="N100" s="33" t="n">
        <x:v>4000</x:v>
      </x:c>
      <x:c r="O100" s="33" t="n">
        <x:v>4000</x:v>
      </x:c>
      <x:c r="P100" s="33" t="n">
        <x:v>4000</x:v>
      </x:c>
      <x:c r="Q100" s="33" t="n">
        <x:v>4000</x:v>
      </x:c>
      <x:c r="R100" s="33" t="n">
        <x:v>4000</x:v>
      </x:c>
      <x:c r="S100" s="33" t="n">
        <x:v>4000</x:v>
      </x:c>
    </x:row>
    <x:row r="101" ht="20" customHeight="1">
      <x:c r="A101" s="3"/>
      <x:c r="B101" s="3"/>
      <x:c r="C101" s="35" t="str">
        <x:v>Space: marża cash przed R&amp;D i SG&amp;A — aktywne</x:v>
      </x:c>
      <x:c r="D101" s="36" t="n">
        <x:f>IF(CHOOSE($D$4,ISNUMBER(D102),ISNUMBER(D103),ISNUMBER(D104)),CHOOSE($D$4,D102,D103,D104),"n.a.")</x:f>
        <x:v>0.76</x:v>
      </x:c>
      <x:c r="E101" s="36" t="n">
        <x:f>IF(CHOOSE($D$4,ISNUMBER(E102),ISNUMBER(E103),ISNUMBER(E104)),CHOOSE($D$4,E102,E103,E104),"n.a.")</x:f>
        <x:v>0.76</x:v>
      </x:c>
      <x:c r="F101" s="36" t="n">
        <x:f>IF(CHOOSE($D$4,ISNUMBER(F102),ISNUMBER(F103),ISNUMBER(F104)),CHOOSE($D$4,F102,F103,F104),"n.a.")</x:f>
        <x:v>0.76</x:v>
      </x:c>
      <x:c r="G101" s="36" t="n">
        <x:f>IF(CHOOSE($D$4,ISNUMBER(G102),ISNUMBER(G103),ISNUMBER(G104)),CHOOSE($D$4,G102,G103,G104),"n.a.")</x:f>
        <x:v>0.76</x:v>
      </x:c>
      <x:c r="H101" s="36" t="n">
        <x:f>IF(CHOOSE($D$4,ISNUMBER(H102),ISNUMBER(H103),ISNUMBER(H104)),CHOOSE($D$4,H102,H103,H104),"n.a.")</x:f>
        <x:v>0.76</x:v>
      </x:c>
      <x:c r="I101" s="36" t="n">
        <x:f>IF(CHOOSE($D$4,ISNUMBER(I102),ISNUMBER(I103),ISNUMBER(I104)),CHOOSE($D$4,I102,I103,I104),"n.a.")</x:f>
        <x:v>0.76</x:v>
      </x:c>
      <x:c r="J101" s="36" t="n">
        <x:f>IF(CHOOSE($D$4,ISNUMBER(J102),ISNUMBER(J103),ISNUMBER(J104)),CHOOSE($D$4,J102,J103,J104),"n.a.")</x:f>
        <x:v>0.76</x:v>
      </x:c>
      <x:c r="K101" s="36" t="n">
        <x:f>IF(CHOOSE($D$4,ISNUMBER(K102),ISNUMBER(K103),ISNUMBER(K104)),CHOOSE($D$4,K102,K103,K104),"n.a.")</x:f>
        <x:v>0.76</x:v>
      </x:c>
      <x:c r="L101" s="36" t="n">
        <x:f>IF(CHOOSE($D$4,ISNUMBER(L102),ISNUMBER(L103),ISNUMBER(L104)),CHOOSE($D$4,L102,L103,L104),"n.a.")</x:f>
        <x:v>0.76</x:v>
      </x:c>
      <x:c r="M101" s="36" t="n">
        <x:f>IF(CHOOSE($D$4,ISNUMBER(M102),ISNUMBER(M103),ISNUMBER(M104)),CHOOSE($D$4,M102,M103,M104),"n.a.")</x:f>
        <x:v>0.76</x:v>
      </x:c>
      <x:c r="N101" s="36" t="n">
        <x:f>IF(CHOOSE($D$4,ISNUMBER(N102),ISNUMBER(N103),ISNUMBER(N104)),CHOOSE($D$4,N102,N103,N104),"n.a.")</x:f>
        <x:v>0.76</x:v>
      </x:c>
      <x:c r="O101" s="36" t="n">
        <x:f>IF(CHOOSE($D$4,ISNUMBER(O102),ISNUMBER(O103),ISNUMBER(O104)),CHOOSE($D$4,O102,O103,O104),"n.a.")</x:f>
        <x:v>0.76</x:v>
      </x:c>
      <x:c r="P101" s="36" t="n">
        <x:f>IF(CHOOSE($D$4,ISNUMBER(P102),ISNUMBER(P103),ISNUMBER(P104)),CHOOSE($D$4,P102,P103,P104),"n.a.")</x:f>
        <x:v>0.76</x:v>
      </x:c>
      <x:c r="Q101" s="36" t="n">
        <x:f>IF(CHOOSE($D$4,ISNUMBER(Q102),ISNUMBER(Q103),ISNUMBER(Q104)),CHOOSE($D$4,Q102,Q103,Q104),"n.a.")</x:f>
        <x:v>0.76</x:v>
      </x:c>
      <x:c r="R101" s="36" t="n">
        <x:f>IF(CHOOSE($D$4,ISNUMBER(R102),ISNUMBER(R103),ISNUMBER(R104)),CHOOSE($D$4,R102,R103,R104),"n.a.")</x:f>
        <x:v>0.76</x:v>
      </x:c>
      <x:c r="S101" s="36" t="n">
        <x:f>IF(CHOOSE($D$4,ISNUMBER(S102),ISNUMBER(S103),ISNUMBER(S104)),CHOOSE($D$4,S102,S103,S104),"n.a.")</x:f>
        <x:v>0.76</x:v>
      </x:c>
    </x:row>
    <x:row r="102" ht="20" customHeight="1">
      <x:c r="A102" s="3"/>
      <x:c r="B102" s="3"/>
      <x:c r="C102" s="10" t="str">
        <x:v>Pesymistyczny</x:v>
      </x:c>
      <x:c r="D102" s="37" t="n">
        <x:v>0.72</x:v>
      </x:c>
      <x:c r="E102" s="37" t="n">
        <x:v>0.72</x:v>
      </x:c>
      <x:c r="F102" s="37" t="n">
        <x:v>0.72</x:v>
      </x:c>
      <x:c r="G102" s="37" t="n">
        <x:v>0.72</x:v>
      </x:c>
      <x:c r="H102" s="37" t="n">
        <x:v>0.72</x:v>
      </x:c>
      <x:c r="I102" s="37" t="n">
        <x:v>0.72</x:v>
      </x:c>
      <x:c r="J102" s="37" t="n">
        <x:v>0.72</x:v>
      </x:c>
      <x:c r="K102" s="37" t="n">
        <x:v>0.72</x:v>
      </x:c>
      <x:c r="L102" s="37" t="n">
        <x:v>0.72</x:v>
      </x:c>
      <x:c r="M102" s="37" t="n">
        <x:v>0.72</x:v>
      </x:c>
      <x:c r="N102" s="37" t="n">
        <x:v>0.72</x:v>
      </x:c>
      <x:c r="O102" s="37" t="n">
        <x:v>0.72</x:v>
      </x:c>
      <x:c r="P102" s="37" t="n">
        <x:v>0.72</x:v>
      </x:c>
      <x:c r="Q102" s="37" t="n">
        <x:v>0.72</x:v>
      </x:c>
      <x:c r="R102" s="37" t="n">
        <x:v>0.72</x:v>
      </x:c>
      <x:c r="S102" s="37" t="n">
        <x:v>0.72</x:v>
      </x:c>
    </x:row>
    <x:row r="103" ht="20" customHeight="1">
      <x:c r="A103" s="3"/>
      <x:c r="B103" s="3"/>
      <x:c r="C103" s="10" t="str">
        <x:v>Bazowy</x:v>
      </x:c>
      <x:c r="D103" s="37" t="n">
        <x:v>0.76</x:v>
      </x:c>
      <x:c r="E103" s="37" t="n">
        <x:v>0.76</x:v>
      </x:c>
      <x:c r="F103" s="37" t="n">
        <x:v>0.76</x:v>
      </x:c>
      <x:c r="G103" s="37" t="n">
        <x:v>0.76</x:v>
      </x:c>
      <x:c r="H103" s="37" t="n">
        <x:v>0.76</x:v>
      </x:c>
      <x:c r="I103" s="37" t="n">
        <x:v>0.76</x:v>
      </x:c>
      <x:c r="J103" s="37" t="n">
        <x:v>0.76</x:v>
      </x:c>
      <x:c r="K103" s="37" t="n">
        <x:v>0.76</x:v>
      </x:c>
      <x:c r="L103" s="37" t="n">
        <x:v>0.76</x:v>
      </x:c>
      <x:c r="M103" s="37" t="n">
        <x:v>0.76</x:v>
      </x:c>
      <x:c r="N103" s="37" t="n">
        <x:v>0.76</x:v>
      </x:c>
      <x:c r="O103" s="37" t="n">
        <x:v>0.76</x:v>
      </x:c>
      <x:c r="P103" s="37" t="n">
        <x:v>0.76</x:v>
      </x:c>
      <x:c r="Q103" s="37" t="n">
        <x:v>0.76</x:v>
      </x:c>
      <x:c r="R103" s="37" t="n">
        <x:v>0.76</x:v>
      </x:c>
      <x:c r="S103" s="37" t="n">
        <x:v>0.76</x:v>
      </x:c>
    </x:row>
    <x:row r="104" ht="20" customHeight="1">
      <x:c r="A104" s="3"/>
      <x:c r="B104" s="3"/>
      <x:c r="C104" s="10" t="str">
        <x:v>Optymistyczny</x:v>
      </x:c>
      <x:c r="D104" s="37" t="n">
        <x:v>0.8</x:v>
      </x:c>
      <x:c r="E104" s="37" t="n">
        <x:v>0.8</x:v>
      </x:c>
      <x:c r="F104" s="37" t="n">
        <x:v>0.8</x:v>
      </x:c>
      <x:c r="G104" s="37" t="n">
        <x:v>0.8</x:v>
      </x:c>
      <x:c r="H104" s="37" t="n">
        <x:v>0.8</x:v>
      </x:c>
      <x:c r="I104" s="37" t="n">
        <x:v>0.8</x:v>
      </x:c>
      <x:c r="J104" s="37" t="n">
        <x:v>0.8</x:v>
      </x:c>
      <x:c r="K104" s="37" t="n">
        <x:v>0.8</x:v>
      </x:c>
      <x:c r="L104" s="37" t="n">
        <x:v>0.8</x:v>
      </x:c>
      <x:c r="M104" s="37" t="n">
        <x:v>0.8</x:v>
      </x:c>
      <x:c r="N104" s="37" t="n">
        <x:v>0.8</x:v>
      </x:c>
      <x:c r="O104" s="37" t="n">
        <x:v>0.8</x:v>
      </x:c>
      <x:c r="P104" s="37" t="n">
        <x:v>0.8</x:v>
      </x:c>
      <x:c r="Q104" s="37" t="n">
        <x:v>0.8</x:v>
      </x:c>
      <x:c r="R104" s="37" t="n">
        <x:v>0.8</x:v>
      </x:c>
      <x:c r="S104" s="37" t="n">
        <x:v>0.8</x:v>
      </x:c>
    </x:row>
    <x:row r="105" ht="20" customHeight="1">
      <x:c r="A105" s="3"/>
      <x:c r="B105" s="3"/>
      <x:c r="C105" s="17" t="str">
        <x:v>Moc znamionowa na koniec (GW) — aktywne</x:v>
      </x:c>
      <x:c r="D105" s="32" t="n">
        <x:f>IF(CHOOSE($D$4,ISNUMBER(D106),ISNUMBER(D107),ISNUMBER(D108)),CHOOSE($D$4,D106,D107,D108),"n.a.")</x:f>
        <x:v>2.5</x:v>
      </x:c>
      <x:c r="E105" s="32" t="n">
        <x:f>IF(CHOOSE($D$4,ISNUMBER(E106),ISNUMBER(E107),ISNUMBER(E108)),CHOOSE($D$4,E106,E107,E108),"n.a.")</x:f>
        <x:v>3.8458028365672936</x:v>
      </x:c>
      <x:c r="F105" s="32" t="n">
        <x:f>IF(CHOOSE($D$4,ISNUMBER(F106),ISNUMBER(F107),ISNUMBER(F108)),CHOOSE($D$4,F106,F107,F108),"n.a.")</x:f>
        <x:v>5.916079783099616</x:v>
      </x:c>
      <x:c r="G105" s="32" t="n">
        <x:f>IF(CHOOSE($D$4,ISNUMBER(G106),ISNUMBER(G107),ISNUMBER(G108)),CHOOSE($D$4,G106,G107,G108),"n.a.")</x:f>
        <x:v>9.100830564481168</x:v>
      </x:c>
      <x:c r="H105" s="32" t="n">
        <x:f>IF(CHOOSE($D$4,ISNUMBER(H106),ISNUMBER(H107),ISNUMBER(H108)),CHOOSE($D$4,H106,H107,H108),"n.a.")</x:f>
        <x:v>14</x:v>
      </x:c>
      <x:c r="I105" s="32" t="n">
        <x:f>IF(CHOOSE($D$4,ISNUMBER(I106),ISNUMBER(I107),ISNUMBER(I108)),CHOOSE($D$4,I106,I107,I108),"n.a.")</x:f>
        <x:v>15.845177118834025</x:v>
      </x:c>
      <x:c r="J105" s="32" t="n">
        <x:f>IF(CHOOSE($D$4,ISNUMBER(J106),ISNUMBER(J107),ISNUMBER(J108)),CHOOSE($D$4,J106,J107,J108),"n.a.")</x:f>
        <x:v>17.933545566230098</x:v>
      </x:c>
      <x:c r="K105" s="32" t="n">
        <x:f>IF(CHOOSE($D$4,ISNUMBER(K106),ISNUMBER(K107),ISNUMBER(K108)),CHOOSE($D$4,K106,K107,K108),"n.a.")</x:f>
        <x:v>20.297157561828325</x:v>
      </x:c>
      <x:c r="L105" s="32" t="n">
        <x:f>IF(CHOOSE($D$4,ISNUMBER(L106),ISNUMBER(L107),ISNUMBER(L108)),CHOOSE($D$4,L106,L107,L108),"n.a.")</x:f>
        <x:v>22.972289755432225</x:v>
      </x:c>
      <x:c r="M105" s="32" t="n">
        <x:f>IF(CHOOSE($D$4,ISNUMBER(M106),ISNUMBER(M107),ISNUMBER(M108)),CHOOSE($D$4,M106,M107,M108),"n.a.")</x:f>
        <x:v>26</x:v>
      </x:c>
      <x:c r="N105" s="32" t="n">
        <x:f>IF(CHOOSE($D$4,ISNUMBER(N106),ISNUMBER(N107),ISNUMBER(N108)),CHOOSE($D$4,N106,N107,N108),"n.a.")</x:f>
        <x:v>27.320530666016584</x:v>
      </x:c>
      <x:c r="O105" s="32" t="n">
        <x:f>IF(CHOOSE($D$4,ISNUMBER(O106),ISNUMBER(O107),ISNUMBER(O108)),CHOOSE($D$4,O106,O107,O108),"n.a.")</x:f>
        <x:v>28.708130610490482</x:v>
      </x:c>
      <x:c r="P105" s="32" t="n">
        <x:f>IF(CHOOSE($D$4,ISNUMBER(P106),ISNUMBER(P107),ISNUMBER(P108)),CHOOSE($D$4,P106,P107,P108),"n.a.")</x:f>
        <x:v>30.166206257996713</x:v>
      </x:c>
      <x:c r="Q105" s="32" t="n">
        <x:f>IF(CHOOSE($D$4,ISNUMBER(Q106),ISNUMBER(Q107),ISNUMBER(Q108)),CHOOSE($D$4,Q106,Q107,Q108),"n.a.")</x:f>
        <x:v>31.698337044191558</x:v>
      </x:c>
      <x:c r="R105" s="32" t="n">
        <x:f>IF(CHOOSE($D$4,ISNUMBER(R106),ISNUMBER(R107),ISNUMBER(R108)),CHOOSE($D$4,R106,R107,R108),"n.a.")</x:f>
        <x:v>33.308284202983266</x:v>
      </x:c>
      <x:c r="S105" s="32" t="n">
        <x:f>IF(CHOOSE($D$4,ISNUMBER(S106),ISNUMBER(S107),ISNUMBER(S108)),CHOOSE($D$4,S106,S107,S108),"n.a.")</x:f>
        <x:v>35</x:v>
      </x:c>
    </x:row>
    <x:row r="106" ht="20" customHeight="1">
      <x:c r="A106" s="3"/>
      <x:c r="B106" s="3"/>
      <x:c r="C106" s="3" t="str">
        <x:v>Pesymistyczny</x:v>
      </x:c>
      <x:c r="D106" s="33" t="n">
        <x:v>2</x:v>
      </x:c>
      <x:c r="E106" s="33" t="n">
        <x:v>2.6321480259049848</x:v>
      </x:c>
      <x:c r="F106" s="33" t="n">
        <x:v>3.4641016151377544</x:v>
      </x:c>
      <x:c r="G106" s="33" t="n">
        <x:v>4.559014113909555</x:v>
      </x:c>
      <x:c r="H106" s="33" t="n">
        <x:v>6</x:v>
      </x:c>
      <x:c r="I106" s="33" t="n">
        <x:v>6.506830627186192</x:v>
      </x:c>
      <x:c r="J106" s="33" t="n">
        <x:v>7.056474135148042</x:v>
      </x:c>
      <x:c r="K106" s="33" t="n">
        <x:v>7.652547003754744</x:v>
      </x:c>
      <x:c r="L106" s="33" t="n">
        <x:v>8.29897120333555</x:v>
      </x:c>
      <x:c r="M106" s="33" t="n">
        <x:v>9</x:v>
      </x:c>
      <x:c r="N106" s="33" t="n">
        <x:v>9.306096222900734</x:v>
      </x:c>
      <x:c r="O106" s="33" t="n">
        <x:v>9.62260298998748</x:v>
      </x:c>
      <x:c r="P106" s="33" t="n">
        <x:v>9.949874371066201</x:v>
      </x:c>
      <x:c r="Q106" s="33" t="n">
        <x:v>10.288276478101775</x:v>
      </x:c>
      <x:c r="R106" s="33" t="n">
        <x:v>10.638187874780156</x:v>
      </x:c>
      <x:c r="S106" s="33" t="n">
        <x:v>11</x:v>
      </x:c>
    </x:row>
    <x:row r="107" ht="20" customHeight="1">
      <x:c r="A107" s="3"/>
      <x:c r="B107" s="3"/>
      <x:c r="C107" s="3" t="str">
        <x:v>Bazowy</x:v>
      </x:c>
      <x:c r="D107" s="33" t="n">
        <x:v>2.5</x:v>
      </x:c>
      <x:c r="E107" s="33" t="n">
        <x:v>3.8458028365672936</x:v>
      </x:c>
      <x:c r="F107" s="33" t="n">
        <x:v>5.916079783099616</x:v>
      </x:c>
      <x:c r="G107" s="33" t="n">
        <x:v>9.100830564481168</x:v>
      </x:c>
      <x:c r="H107" s="33" t="n">
        <x:v>14</x:v>
      </x:c>
      <x:c r="I107" s="33" t="n">
        <x:v>15.845177118834025</x:v>
      </x:c>
      <x:c r="J107" s="33" t="n">
        <x:v>17.933545566230098</x:v>
      </x:c>
      <x:c r="K107" s="33" t="n">
        <x:v>20.297157561828325</x:v>
      </x:c>
      <x:c r="L107" s="33" t="n">
        <x:v>22.972289755432225</x:v>
      </x:c>
      <x:c r="M107" s="33" t="n">
        <x:v>26</x:v>
      </x:c>
      <x:c r="N107" s="33" t="n">
        <x:v>27.320530666016584</x:v>
      </x:c>
      <x:c r="O107" s="33" t="n">
        <x:v>28.708130610490482</x:v>
      </x:c>
      <x:c r="P107" s="33" t="n">
        <x:v>30.166206257996713</x:v>
      </x:c>
      <x:c r="Q107" s="33" t="n">
        <x:v>31.698337044191558</x:v>
      </x:c>
      <x:c r="R107" s="33" t="n">
        <x:v>33.308284202983266</x:v>
      </x:c>
      <x:c r="S107" s="33" t="n">
        <x:v>35</x:v>
      </x:c>
    </x:row>
    <x:row r="108" ht="20" customHeight="1">
      <x:c r="A108" s="3"/>
      <x:c r="B108" s="3"/>
      <x:c r="C108" s="3" t="str">
        <x:v>Optymistyczny</x:v>
      </x:c>
      <x:c r="D108" s="33" t="n">
        <x:v>3</x:v>
      </x:c>
      <x:c r="E108" s="33" t="n">
        <x:v>5.0971327345413675</x:v>
      </x:c>
      <x:c r="F108" s="33" t="n">
        <x:v>8.660254037844387</x:v>
      </x:c>
      <x:c r="G108" s="33" t="n">
        <x:v>14.71415478191356</x:v>
      </x:c>
      <x:c r="H108" s="33" t="n">
        <x:v>25</x:v>
      </x:c>
      <x:c r="I108" s="33" t="n">
        <x:v>28.717458874925878</x:v>
      </x:c>
      <x:c r="J108" s="33" t="n">
        <x:v>32.98769776932235</x:v>
      </x:c>
      <x:c r="K108" s="33" t="n">
        <x:v>37.89291416275995</x:v>
      </x:c>
      <x:c r="L108" s="33" t="n">
        <x:v>43.527528164806206</x:v>
      </x:c>
      <x:c r="M108" s="33" t="n">
        <x:v>50</x:v>
      </x:c>
      <x:c r="N108" s="33" t="n">
        <x:v>52.884046320260815</x:v>
      </x:c>
      <x:c r="O108" s="33" t="n">
        <x:v>55.93444710406984</x:v>
      </x:c>
      <x:c r="P108" s="33" t="n">
        <x:v>59.16079783099616</x:v>
      </x:c>
      <x:c r="Q108" s="33" t="n">
        <x:v>62.57324745675973</x:v>
      </x:c>
      <x:c r="R108" s="33" t="n">
        <x:v>66.18253033824848</x:v>
      </x:c>
      <x:c r="S108" s="33" t="n">
        <x:v>70</x:v>
      </x:c>
    </x:row>
    <x:row r="109" ht="20" customHeight="1">
      <x:c r="A109" s="3"/>
      <x:c r="B109" s="3"/>
      <x:c r="C109" s="35" t="str">
        <x:v>Wykorzystanie mocy AI — aktywne</x:v>
      </x:c>
      <x:c r="D109" s="36" t="n">
        <x:f>IF(CHOOSE($D$4,ISNUMBER(D110),ISNUMBER(D111),ISNUMBER(D112)),CHOOSE($D$4,D110,D111,D112),"n.a.")</x:f>
        <x:v>0.8</x:v>
      </x:c>
      <x:c r="E109" s="36" t="n">
        <x:f>IF(CHOOSE($D$4,ISNUMBER(E110),ISNUMBER(E111),ISNUMBER(E112)),CHOOSE($D$4,E110,E111,E112),"n.a.")</x:f>
        <x:v>0.804953797060509</x:v>
      </x:c>
      <x:c r="F109" s="36" t="n">
        <x:f>IF(CHOOSE($D$4,ISNUMBER(F110),ISNUMBER(F111),ISNUMBER(F112)),CHOOSE($D$4,F110,F111,F112),"n.a.")</x:f>
        <x:v>0.8099382692526634</x:v>
      </x:c>
      <x:c r="G109" s="36" t="n">
        <x:f>IF(CHOOSE($D$4,ISNUMBER(G110),ISNUMBER(G111),ISNUMBER(G112)),CHOOSE($D$4,G110,G111,G112),"n.a.")</x:f>
        <x:v>0.8149536065244352</x:v>
      </x:c>
      <x:c r="H109" s="36" t="n">
        <x:f>IF(CHOOSE($D$4,ISNUMBER(H110),ISNUMBER(H111),ISNUMBER(H112)),CHOOSE($D$4,H110,H111,H112),"n.a.")</x:f>
        <x:v>0.82</x:v>
      </x:c>
      <x:c r="I109" s="36" t="n">
        <x:f>IF(CHOOSE($D$4,ISNUMBER(I110),ISNUMBER(I111),ISNUMBER(I112)),CHOOSE($D$4,I110,I111,I112),"n.a.")</x:f>
        <x:v>0.8259140745187248</x:v>
      </x:c>
      <x:c r="J109" s="36" t="n">
        <x:f>IF(CHOOSE($D$4,ISNUMBER(J110),ISNUMBER(J111),ISNUMBER(J112)),CHOOSE($D$4,J110,J111,J112),"n.a.")</x:f>
        <x:v>0.8318708030342948</x:v>
      </x:c>
      <x:c r="K109" s="36" t="n">
        <x:f>IF(CHOOSE($D$4,ISNUMBER(K110),ISNUMBER(K111),ISNUMBER(K112)),CHOOSE($D$4,K110,K111,K112),"n.a.")</x:f>
        <x:v>0.8378704931795344</x:v>
      </x:c>
      <x:c r="L109" s="36" t="n">
        <x:f>IF(CHOOSE($D$4,ISNUMBER(L110),ISNUMBER(L111),ISNUMBER(L112)),CHOOSE($D$4,L110,L111,L112),"n.a.")</x:f>
        <x:v>0.8439134548060033</x:v>
      </x:c>
      <x:c r="M109" s="36" t="n">
        <x:f>IF(CHOOSE($D$4,ISNUMBER(M110),ISNUMBER(M111),ISNUMBER(M112)),CHOOSE($D$4,M110,M111,M112),"n.a.")</x:f>
        <x:v>0.85</x:v>
      </x:c>
      <x:c r="N109" s="36" t="n">
        <x:f>IF(CHOOSE($D$4,ISNUMBER(N110),ISNUMBER(N111),ISNUMBER(N112)),CHOOSE($D$4,N110,N111,N112),"n.a.")</x:f>
        <x:v>0.85</x:v>
      </x:c>
      <x:c r="O109" s="36" t="n">
        <x:f>IF(CHOOSE($D$4,ISNUMBER(O110),ISNUMBER(O111),ISNUMBER(O112)),CHOOSE($D$4,O110,O111,O112),"n.a.")</x:f>
        <x:v>0.85</x:v>
      </x:c>
      <x:c r="P109" s="36" t="n">
        <x:f>IF(CHOOSE($D$4,ISNUMBER(P110),ISNUMBER(P111),ISNUMBER(P112)),CHOOSE($D$4,P110,P111,P112),"n.a.")</x:f>
        <x:v>0.85</x:v>
      </x:c>
      <x:c r="Q109" s="36" t="n">
        <x:f>IF(CHOOSE($D$4,ISNUMBER(Q110),ISNUMBER(Q111),ISNUMBER(Q112)),CHOOSE($D$4,Q110,Q111,Q112),"n.a.")</x:f>
        <x:v>0.85</x:v>
      </x:c>
      <x:c r="R109" s="36" t="n">
        <x:f>IF(CHOOSE($D$4,ISNUMBER(R110),ISNUMBER(R111),ISNUMBER(R112)),CHOOSE($D$4,R110,R111,R112),"n.a.")</x:f>
        <x:v>0.85</x:v>
      </x:c>
      <x:c r="S109" s="36" t="n">
        <x:f>IF(CHOOSE($D$4,ISNUMBER(S110),ISNUMBER(S111),ISNUMBER(S112)),CHOOSE($D$4,S110,S111,S112),"n.a.")</x:f>
        <x:v>0.85</x:v>
      </x:c>
    </x:row>
    <x:row r="110" ht="20" customHeight="1">
      <x:c r="A110" s="3"/>
      <x:c r="B110" s="3"/>
      <x:c r="C110" s="10" t="str">
        <x:v>Pesymistyczny</x:v>
      </x:c>
      <x:c r="D110" s="37" t="n">
        <x:v>0.7</x:v>
      </x:c>
      <x:c r="E110" s="37" t="n">
        <x:v>0.6871505036839611</x:v>
      </x:c>
      <x:c r="F110" s="37" t="n">
        <x:v>0.6745368781616021</x:v>
      </x:c>
      <x:c r="G110" s="37" t="n">
        <x:v>0.662154793688788</x:v>
      </x:c>
      <x:c r="H110" s="37" t="n">
        <x:v>0.65</x:v>
      </x:c>
      <x:c r="I110" s="37" t="n">
        <x:v>0.65</x:v>
      </x:c>
      <x:c r="J110" s="37" t="n">
        <x:v>0.65</x:v>
      </x:c>
      <x:c r="K110" s="37" t="n">
        <x:v>0.65</x:v>
      </x:c>
      <x:c r="L110" s="37" t="n">
        <x:v>0.65</x:v>
      </x:c>
      <x:c r="M110" s="37" t="n">
        <x:v>0.65</x:v>
      </x:c>
      <x:c r="N110" s="37" t="n">
        <x:v>0.65</x:v>
      </x:c>
      <x:c r="O110" s="37" t="n">
        <x:v>0.65</x:v>
      </x:c>
      <x:c r="P110" s="37" t="n">
        <x:v>0.65</x:v>
      </x:c>
      <x:c r="Q110" s="37" t="n">
        <x:v>0.65</x:v>
      </x:c>
      <x:c r="R110" s="37" t="n">
        <x:v>0.65</x:v>
      </x:c>
      <x:c r="S110" s="37" t="n">
        <x:v>0.65</x:v>
      </x:c>
    </x:row>
    <x:row r="111" ht="20" customHeight="1">
      <x:c r="A111" s="3"/>
      <x:c r="B111" s="3"/>
      <x:c r="C111" s="10" t="str">
        <x:v>Bazowy</x:v>
      </x:c>
      <x:c r="D111" s="37" t="n">
        <x:v>0.8</x:v>
      </x:c>
      <x:c r="E111" s="37" t="n">
        <x:v>0.804953797060509</x:v>
      </x:c>
      <x:c r="F111" s="37" t="n">
        <x:v>0.8099382692526634</x:v>
      </x:c>
      <x:c r="G111" s="37" t="n">
        <x:v>0.8149536065244352</x:v>
      </x:c>
      <x:c r="H111" s="37" t="n">
        <x:v>0.82</x:v>
      </x:c>
      <x:c r="I111" s="37" t="n">
        <x:v>0.8259140745187248</x:v>
      </x:c>
      <x:c r="J111" s="37" t="n">
        <x:v>0.8318708030342948</x:v>
      </x:c>
      <x:c r="K111" s="37" t="n">
        <x:v>0.8378704931795344</x:v>
      </x:c>
      <x:c r="L111" s="37" t="n">
        <x:v>0.8439134548060033</x:v>
      </x:c>
      <x:c r="M111" s="37" t="n">
        <x:v>0.85</x:v>
      </x:c>
      <x:c r="N111" s="37" t="n">
        <x:v>0.85</x:v>
      </x:c>
      <x:c r="O111" s="37" t="n">
        <x:v>0.85</x:v>
      </x:c>
      <x:c r="P111" s="37" t="n">
        <x:v>0.85</x:v>
      </x:c>
      <x:c r="Q111" s="37" t="n">
        <x:v>0.85</x:v>
      </x:c>
      <x:c r="R111" s="37" t="n">
        <x:v>0.85</x:v>
      </x:c>
      <x:c r="S111" s="37" t="n">
        <x:v>0.85</x:v>
      </x:c>
    </x:row>
    <x:row r="112" ht="20" customHeight="1">
      <x:c r="A112" s="3"/>
      <x:c r="B112" s="3"/>
      <x:c r="C112" s="10" t="str">
        <x:v>Optymistyczny</x:v>
      </x:c>
      <x:c r="D112" s="37" t="n">
        <x:v>0.85</x:v>
      </x:c>
      <x:c r="E112" s="37" t="n">
        <x:v>0.8622333597076698</x:v>
      </x:c>
      <x:c r="F112" s="37" t="n">
        <x:v>0.8746427842267951</x:v>
      </x:c>
      <x:c r="G112" s="37" t="n">
        <x:v>0.8872308075152234</x:v>
      </x:c>
      <x:c r="H112" s="37" t="n">
        <x:v>0.9</x:v>
      </x:c>
      <x:c r="I112" s="37" t="n">
        <x:v>0.9039649112664055</x:v>
      </x:c>
      <x:c r="J112" s="37" t="n">
        <x:v>0.9079472897787563</x:v>
      </x:c>
      <x:c r="K112" s="37" t="n">
        <x:v>0.9119472124882522</x:v>
      </x:c>
      <x:c r="L112" s="37" t="n">
        <x:v>0.9159647566850987</x:v>
      </x:c>
      <x:c r="M112" s="37" t="n">
        <x:v>0.9199999999999999</x:v>
      </x:c>
      <x:c r="N112" s="37" t="n">
        <x:v>0.92</x:v>
      </x:c>
      <x:c r="O112" s="37" t="n">
        <x:v>0.92</x:v>
      </x:c>
      <x:c r="P112" s="37" t="n">
        <x:v>0.92</x:v>
      </x:c>
      <x:c r="Q112" s="37" t="n">
        <x:v>0.92</x:v>
      </x:c>
      <x:c r="R112" s="37" t="n">
        <x:v>0.92</x:v>
      </x:c>
      <x:c r="S112" s="37" t="n">
        <x:v>0.92</x:v>
      </x:c>
    </x:row>
    <x:row r="113" ht="20" customHeight="1">
      <x:c r="A113" s="3"/>
      <x:c r="B113" s="3"/>
      <x:c r="C113" s="17" t="str">
        <x:v>Chmura: przychód (USD mln/GW/rok) — aktywne</x:v>
      </x:c>
      <x:c r="D113" s="32" t="n">
        <x:f>IF(CHOOSE($D$4,ISNUMBER(D114),ISNUMBER(D115),ISNUMBER(D116)),CHOOSE($D$4,D114,D115,D116),"n.a.")</x:f>
        <x:v>18000</x:v>
      </x:c>
      <x:c r="E113" s="32" t="n">
        <x:f>IF(CHOOSE($D$4,ISNUMBER(E114),ISNUMBER(E115),ISNUMBER(E116)),CHOOSE($D$4,E114,E115,E116),"n.a.")</x:f>
        <x:v>17612.676767404024</x:v>
      </x:c>
      <x:c r="F113" s="32" t="n">
        <x:f>IF(CHOOSE($D$4,ISNUMBER(F114),ISNUMBER(F115),ISNUMBER(F116)),CHOOSE($D$4,F114,F115,F116),"n.a.")</x:f>
        <x:v>17233.687939614087</x:v>
      </x:c>
      <x:c r="G113" s="32" t="n">
        <x:f>IF(CHOOSE($D$4,ISNUMBER(G114),ISNUMBER(G115),ISNUMBER(G116)),CHOOSE($D$4,G114,G115,G116),"n.a.")</x:f>
        <x:v>16862.85417726289</x:v>
      </x:c>
      <x:c r="H113" s="32" t="n">
        <x:f>IF(CHOOSE($D$4,ISNUMBER(H114),ISNUMBER(H115),ISNUMBER(H116)),CHOOSE($D$4,H114,H115,H116),"n.a.")</x:f>
        <x:v>16500</x:v>
      </x:c>
      <x:c r="I113" s="32" t="n">
        <x:f>IF(CHOOSE($D$4,ISNUMBER(I114),ISNUMBER(I115),ISNUMBER(I116)),CHOOSE($D$4,I114,I115,I116),"n.a.")</x:f>
        <x:v>16079.06370268435</x:v>
      </x:c>
      <x:c r="J113" s="32" t="n">
        <x:f>IF(CHOOSE($D$4,ISNUMBER(J114),ISNUMBER(J115),ISNUMBER(J116)),CHOOSE($D$4,J114,J115,J116),"n.a.")</x:f>
        <x:v>15668.866033635233</x:v>
      </x:c>
      <x:c r="K113" s="32" t="n">
        <x:f>IF(CHOOSE($D$4,ISNUMBER(K114),ISNUMBER(K115),ISNUMBER(K116)),CHOOSE($D$4,K114,K115,K116),"n.a.")</x:f>
        <x:v>15269.133036584726</x:v>
      </x:c>
      <x:c r="L113" s="32" t="n">
        <x:f>IF(CHOOSE($D$4,ISNUMBER(L114),ISNUMBER(L115),ISNUMBER(L116)),CHOOSE($D$4,L114,L115,L116),"n.a.")</x:f>
        <x:v>14879.597744242903</x:v>
      </x:c>
      <x:c r="M113" s="32" t="n">
        <x:f>IF(CHOOSE($D$4,ISNUMBER(M114),ISNUMBER(M115),ISNUMBER(M116)),CHOOSE($D$4,M114,M115,M116),"n.a.")</x:f>
        <x:v>14500</x:v>
      </x:c>
      <x:c r="N113" s="32" t="n">
        <x:f>IF(CHOOSE($D$4,ISNUMBER(N114),ISNUMBER(N115),ISNUMBER(N116)),CHOOSE($D$4,N114,N115,N116),"n.a.")</x:f>
        <x:v>14238.488667233873</x:v>
      </x:c>
      <x:c r="O113" s="32" t="n">
        <x:f>IF(CHOOSE($D$4,ISNUMBER(O114),ISNUMBER(O115),ISNUMBER(O116)),CHOOSE($D$4,O114,O115,O116),"n.a.")</x:f>
        <x:v>13981.693760479135</x:v>
      </x:c>
      <x:c r="P113" s="32" t="n">
        <x:f>IF(CHOOSE($D$4,ISNUMBER(P114),ISNUMBER(P115),ISNUMBER(P116)),CHOOSE($D$4,P114,P115,P116),"n.a.")</x:f>
        <x:v>13729.53021774598</x:v>
      </x:c>
      <x:c r="Q113" s="32" t="n">
        <x:f>IF(CHOOSE($D$4,ISNUMBER(Q114),ISNUMBER(Q115),ISNUMBER(Q116)),CHOOSE($D$4,Q114,Q115,Q116),"n.a.")</x:f>
        <x:v>13481.914511160081</x:v>
      </x:c>
      <x:c r="R113" s="32" t="n">
        <x:f>IF(CHOOSE($D$4,ISNUMBER(R114),ISNUMBER(R115),ISNUMBER(R116)),CHOOSE($D$4,R114,R115,R116),"n.a.")</x:f>
        <x:v>13238.764619294394</x:v>
      </x:c>
      <x:c r="S113" s="32" t="n">
        <x:f>IF(CHOOSE($D$4,ISNUMBER(S114),ISNUMBER(S115),ISNUMBER(S116)),CHOOSE($D$4,S114,S115,S116),"n.a.")</x:f>
        <x:v>13000</x:v>
      </x:c>
    </x:row>
    <x:row r="114" ht="20" customHeight="1">
      <x:c r="A114" s="3"/>
      <x:c r="B114" s="3"/>
      <x:c r="C114" s="3" t="str">
        <x:v>Pesymistyczny</x:v>
      </x:c>
      <x:c r="D114" s="33" t="n">
        <x:v>17500</x:v>
      </x:c>
      <x:c r="E114" s="33" t="n">
        <x:v>16550.478157555575</x:v>
      </x:c>
      <x:c r="F114" s="33" t="n">
        <x:v>15652.475842498527</x:v>
      </x:c>
      <x:c r="G114" s="33" t="n">
        <x:v>14803.197688167898</x:v>
      </x:c>
      <x:c r="H114" s="33" t="n">
        <x:v>14000</x:v>
      </x:c>
      <x:c r="I114" s="33" t="n">
        <x:v>13217.225158128627</x:v>
      </x:c>
      <x:c r="J114" s="33" t="n">
        <x:v>12478.217205762023</x:v>
      </x:c>
      <x:c r="K114" s="33" t="n">
        <x:v>11780.529027185095</x:v>
      </x:c>
      <x:c r="L114" s="33" t="n">
        <x:v>11121.850331012527</x:v>
      </x:c>
      <x:c r="M114" s="33" t="n">
        <x:v>10500</x:v>
      </x:c>
      <x:c r="N114" s="33" t="n">
        <x:v>10233.672177577699</x:v>
      </x:c>
      <x:c r="O114" s="33" t="n">
        <x:v>9974.099641726463</x:v>
      </x:c>
      <x:c r="P114" s="33" t="n">
        <x:v>9721.11104761179</x:v>
      </x:c>
      <x:c r="Q114" s="33" t="n">
        <x:v>9474.539396484568</x:v>
      </x:c>
      <x:c r="R114" s="33" t="n">
        <x:v>9234.221925444564</x:v>
      </x:c>
      <x:c r="S114" s="33" t="n">
        <x:v>9000</x:v>
      </x:c>
    </x:row>
    <x:row r="115" ht="20" customHeight="1">
      <x:c r="A115" s="3"/>
      <x:c r="B115" s="3"/>
      <x:c r="C115" s="3" t="str">
        <x:v>Bazowy</x:v>
      </x:c>
      <x:c r="D115" s="33" t="n">
        <x:v>18000</x:v>
      </x:c>
      <x:c r="E115" s="33" t="n">
        <x:v>17612.676767404024</x:v>
      </x:c>
      <x:c r="F115" s="33" t="n">
        <x:v>17233.687939614087</x:v>
      </x:c>
      <x:c r="G115" s="33" t="n">
        <x:v>16862.85417726289</x:v>
      </x:c>
      <x:c r="H115" s="33" t="n">
        <x:v>16500</x:v>
      </x:c>
      <x:c r="I115" s="33" t="n">
        <x:v>16079.06370268435</x:v>
      </x:c>
      <x:c r="J115" s="33" t="n">
        <x:v>15668.866033635233</x:v>
      </x:c>
      <x:c r="K115" s="33" t="n">
        <x:v>15269.133036584726</x:v>
      </x:c>
      <x:c r="L115" s="33" t="n">
        <x:v>14879.597744242903</x:v>
      </x:c>
      <x:c r="M115" s="33" t="n">
        <x:v>14500</x:v>
      </x:c>
      <x:c r="N115" s="33" t="n">
        <x:v>14238.488667233873</x:v>
      </x:c>
      <x:c r="O115" s="33" t="n">
        <x:v>13981.693760479135</x:v>
      </x:c>
      <x:c r="P115" s="33" t="n">
        <x:v>13729.53021774598</x:v>
      </x:c>
      <x:c r="Q115" s="33" t="n">
        <x:v>13481.914511160081</x:v>
      </x:c>
      <x:c r="R115" s="33" t="n">
        <x:v>13238.764619294394</x:v>
      </x:c>
      <x:c r="S115" s="33" t="n">
        <x:v>13000</x:v>
      </x:c>
    </x:row>
    <x:row r="116" ht="20" customHeight="1">
      <x:c r="A116" s="3"/>
      <x:c r="B116" s="3"/>
      <x:c r="C116" s="3" t="str">
        <x:v>Optymistyczny</x:v>
      </x:c>
      <x:c r="D116" s="33" t="n">
        <x:v>19000</x:v>
      </x:c>
      <x:c r="E116" s="33" t="n">
        <x:v>19000</x:v>
      </x:c>
      <x:c r="F116" s="33" t="n">
        <x:v>19000</x:v>
      </x:c>
      <x:c r="G116" s="33" t="n">
        <x:v>19000</x:v>
      </x:c>
      <x:c r="H116" s="33" t="n">
        <x:v>19000</x:v>
      </x:c>
      <x:c r="I116" s="33" t="n">
        <x:v>18795.65140644803</x:v>
      </x:c>
      <x:c r="J116" s="33" t="n">
        <x:v>18593.50062066904</x:v>
      </x:c>
      <x:c r="K116" s="33" t="n">
        <x:v>18393.524004824754</x:v>
      </x:c>
      <x:c r="L116" s="33" t="n">
        <x:v>18195.698175306316</x:v>
      </x:c>
      <x:c r="M116" s="33" t="n">
        <x:v>18000</x:v>
      </x:c>
      <x:c r="N116" s="33" t="n">
        <x:v>17829.33894208364</x:v>
      </x:c>
      <x:c r="O116" s="33" t="n">
        <x:v>17660.29595065001</x:v>
      </x:c>
      <x:c r="P116" s="33" t="n">
        <x:v>17492.8556845359</x:v>
      </x:c>
      <x:c r="Q116" s="33" t="n">
        <x:v>17327.002948030284</x:v>
      </x:c>
      <x:c r="R116" s="33" t="n">
        <x:v>17162.722689495244</x:v>
      </x:c>
      <x:c r="S116" s="33" t="n">
        <x:v>17000</x:v>
      </x:c>
    </x:row>
    <x:row r="117" ht="20" customHeight="1">
      <x:c r="A117" s="3"/>
      <x:c r="B117" s="3"/>
      <x:c r="C117" s="17" t="str">
        <x:v>AI: koszt inwestycji (USD mln/GW) — aktywne</x:v>
      </x:c>
      <x:c r="D117" s="32" t="n">
        <x:f>IF(CHOOSE($D$4,ISNUMBER(D118),ISNUMBER(D119),ISNUMBER(D120)),CHOOSE($D$4,D118,D119,D120),"n.a.")</x:f>
        <x:v>30000</x:v>
      </x:c>
      <x:c r="E117" s="32" t="n">
        <x:f>IF(CHOOSE($D$4,ISNUMBER(E118),ISNUMBER(E119),ISNUMBER(E120)),CHOOSE($D$4,E118,E119,E120),"n.a.")</x:f>
        <x:v>29220.112392758903</x:v>
      </x:c>
      <x:c r="F117" s="32" t="n">
        <x:f>IF(CHOOSE($D$4,ISNUMBER(F118),ISNUMBER(F119),ISNUMBER(F120)),CHOOSE($D$4,F118,F119,F120),"n.a.")</x:f>
        <x:v>28460.498941515412</x:v>
      </x:c>
      <x:c r="G117" s="32" t="n">
        <x:f>IF(CHOOSE($D$4,ISNUMBER(G118),ISNUMBER(G119),ISNUMBER(G120)),CHOOSE($D$4,G118,G119,G120),"n.a.")</x:f>
        <x:v>27720.632594169205</x:v>
      </x:c>
      <x:c r="H117" s="32" t="n">
        <x:f>IF(CHOOSE($D$4,ISNUMBER(H118),ISNUMBER(H119),ISNUMBER(H120)),CHOOSE($D$4,H118,H119,H120),"n.a.")</x:f>
        <x:v>27000</x:v>
      </x:c>
      <x:c r="I117" s="32" t="n">
        <x:f>IF(CHOOSE($D$4,ISNUMBER(I118),ISNUMBER(I119),ISNUMBER(I120)),CHOOSE($D$4,I118,I119,I120),"n.a.")</x:f>
        <x:v>26147.88573973405</x:v>
      </x:c>
      <x:c r="J117" s="32" t="n">
        <x:f>IF(CHOOSE($D$4,ISNUMBER(J118),ISNUMBER(J119),ISNUMBER(J120)),CHOOSE($D$4,J118,J119,J120),"n.a.")</x:f>
        <x:v>25322.664024377307</x:v>
      </x:c>
      <x:c r="K117" s="32" t="n">
        <x:f>IF(CHOOSE($D$4,ISNUMBER(K118),ISNUMBER(K119),ISNUMBER(K120)),CHOOSE($D$4,K118,K119,K120),"n.a.")</x:f>
        <x:v>24523.48613092933</x:v>
      </x:c>
      <x:c r="L117" s="32" t="n">
        <x:f>IF(CHOOSE($D$4,ISNUMBER(L118),ISNUMBER(L119),ISNUMBER(L120)),CHOOSE($D$4,L118,L119,L120),"n.a.")</x:f>
        <x:v>23749.530121907137</x:v>
      </x:c>
      <x:c r="M117" s="32" t="n">
        <x:f>IF(CHOOSE($D$4,ISNUMBER(M118),ISNUMBER(M119),ISNUMBER(M120)),CHOOSE($D$4,M118,M119,M120),"n.a.")</x:f>
        <x:v>23000</x:v>
      </x:c>
      <x:c r="N117" s="32" t="n">
        <x:f>IF(CHOOSE($D$4,ISNUMBER(N118),ISNUMBER(N119),ISNUMBER(N120)),CHOOSE($D$4,N118,N119,N120),"n.a.")</x:f>
        <x:v>22470.43755514126</x:v>
      </x:c>
      <x:c r="O117" s="32" t="n">
        <x:f>IF(CHOOSE($D$4,ISNUMBER(O118),ISNUMBER(O119),ISNUMBER(O120)),CHOOSE($D$4,O118,O119,O120),"n.a.")</x:f>
        <x:v>21953.067996500118</x:v>
      </x:c>
      <x:c r="P117" s="32" t="n">
        <x:f>IF(CHOOSE($D$4,ISNUMBER(P118),ISNUMBER(P119),ISNUMBER(P120)),CHOOSE($D$4,P118,P119,P120),"n.a.")</x:f>
        <x:v>21447.610589527216</x:v>
      </x:c>
      <x:c r="Q117" s="32" t="n">
        <x:f>IF(CHOOSE($D$4,ISNUMBER(Q118),ISNUMBER(Q119),ISNUMBER(Q120)),CHOOSE($D$4,Q118,Q119,Q120),"n.a.")</x:f>
        <x:v>20953.791063432946</x:v>
      </x:c>
      <x:c r="R117" s="32" t="n">
        <x:f>IF(CHOOSE($D$4,ISNUMBER(R118),ISNUMBER(R119),ISNUMBER(R120)),CHOOSE($D$4,R118,R119,R120),"n.a.")</x:f>
        <x:v>20471.341462362914</x:v>
      </x:c>
      <x:c r="S117" s="32" t="n">
        <x:f>IF(CHOOSE($D$4,ISNUMBER(S118),ISNUMBER(S119),ISNUMBER(S120)),CHOOSE($D$4,S118,S119,S120),"n.a.")</x:f>
        <x:v>20000</x:v>
      </x:c>
    </x:row>
    <x:row r="118" ht="20" customHeight="1">
      <x:c r="A118" s="3"/>
      <x:c r="B118" s="3"/>
      <x:c r="C118" s="3" t="str">
        <x:v>Pesymistyczny</x:v>
      </x:c>
      <x:c r="D118" s="33" t="n">
        <x:v>35000</x:v>
      </x:c>
      <x:c r="E118" s="33" t="n">
        <x:v>33954.040060647305</x:v>
      </x:c>
      <x:c r="F118" s="33" t="n">
        <x:v>32939.33818400121</x:v>
      </x:c>
      <x:c r="G118" s="33" t="n">
        <x:v>31954.96023630819</x:v>
      </x:c>
      <x:c r="H118" s="33" t="n">
        <x:v>31000</x:v>
      </x:c>
      <x:c r="I118" s="33" t="n">
        <x:v>30155.192687628944</x:v>
      </x:c>
      <x:c r="J118" s="33" t="n">
        <x:v>29333.407936388066</x:v>
      </x:c>
      <x:c r="K118" s="33" t="n">
        <x:v>28534.01833892278</x:v>
      </x:c>
      <x:c r="L118" s="33" t="n">
        <x:v>27756.413585888848</x:v>
      </x:c>
      <x:c r="M118" s="33" t="n">
        <x:v>27000</x:v>
      </x:c>
      <x:c r="N118" s="33" t="n">
        <x:v>26475.14478089592</x:v>
      </x:c>
      <x:c r="O118" s="33" t="n">
        <x:v>25960.49226553335</x:v>
      </x:c>
      <x:c r="P118" s="33" t="n">
        <x:v>25455.84412271571</x:v>
      </x:c>
      <x:c r="Q118" s="33" t="n">
        <x:v>24961.005876622847</x:v>
      </x:c>
      <x:c r="R118" s="33" t="n">
        <x:v>24475.786831866066</x:v>
      </x:c>
      <x:c r="S118" s="33" t="n">
        <x:v>24000</x:v>
      </x:c>
    </x:row>
    <x:row r="119" ht="20" customHeight="1">
      <x:c r="A119" s="3"/>
      <x:c r="B119" s="3"/>
      <x:c r="C119" s="3" t="str">
        <x:v>Bazowy</x:v>
      </x:c>
      <x:c r="D119" s="33" t="n">
        <x:v>30000</x:v>
      </x:c>
      <x:c r="E119" s="33" t="n">
        <x:v>29220.112392758903</x:v>
      </x:c>
      <x:c r="F119" s="33" t="n">
        <x:v>28460.498941515412</x:v>
      </x:c>
      <x:c r="G119" s="33" t="n">
        <x:v>27720.632594169205</x:v>
      </x:c>
      <x:c r="H119" s="33" t="n">
        <x:v>27000</x:v>
      </x:c>
      <x:c r="I119" s="33" t="n">
        <x:v>26147.88573973405</x:v>
      </x:c>
      <x:c r="J119" s="33" t="n">
        <x:v>25322.664024377307</x:v>
      </x:c>
      <x:c r="K119" s="33" t="n">
        <x:v>24523.48613092933</x:v>
      </x:c>
      <x:c r="L119" s="33" t="n">
        <x:v>23749.530121907137</x:v>
      </x:c>
      <x:c r="M119" s="33" t="n">
        <x:v>23000</x:v>
      </x:c>
      <x:c r="N119" s="33" t="n">
        <x:v>22470.43755514126</x:v>
      </x:c>
      <x:c r="O119" s="33" t="n">
        <x:v>21953.067996500118</x:v>
      </x:c>
      <x:c r="P119" s="33" t="n">
        <x:v>21447.610589527216</x:v>
      </x:c>
      <x:c r="Q119" s="33" t="n">
        <x:v>20953.791063432946</x:v>
      </x:c>
      <x:c r="R119" s="33" t="n">
        <x:v>20471.341462362914</x:v>
      </x:c>
      <x:c r="S119" s="33" t="n">
        <x:v>20000</x:v>
      </x:c>
    </x:row>
    <x:row r="120" ht="20" customHeight="1">
      <x:c r="A120" s="3"/>
      <x:c r="B120" s="3"/>
      <x:c r="C120" s="3" t="str">
        <x:v>Optymistyczny</x:v>
      </x:c>
      <x:c r="D120" s="33" t="n">
        <x:v>27000</x:v>
      </x:c>
      <x:c r="E120" s="33" t="n">
        <x:v>25939.092753918052</x:v>
      </x:c>
      <x:c r="F120" s="33" t="n">
        <x:v>24919.871588754228</x:v>
      </x:c>
      <x:c r="G120" s="33" t="n">
        <x:v>23940.69853912678</x:v>
      </x:c>
      <x:c r="H120" s="33" t="n">
        <x:v>23000</x:v>
      </x:c>
      <x:c r="I120" s="33" t="n">
        <x:v>22137.725039184046</x:v>
      </x:c>
      <x:c r="J120" s="33" t="n">
        <x:v>21307.776952631142</x:v>
      </x:c>
      <x:c r="K120" s="33" t="n">
        <x:v>20508.94379885266</x:v>
      </x:c>
      <x:c r="L120" s="33" t="n">
        <x:v>19740.059072307777</x:v>
      </x:c>
      <x:c r="M120" s="33" t="n">
        <x:v>19000</x:v>
      </x:c>
      <x:c r="N120" s="33" t="n">
        <x:v>18651.03001618681</x:v>
      </x:c>
      <x:c r="O120" s="33" t="n">
        <x:v>18308.469508668495</x:v>
      </x:c>
      <x:c r="P120" s="33" t="n">
        <x:v>17972.20075561143</x:v>
      </x:c>
      <x:c r="Q120" s="33" t="n">
        <x:v>17642.108197360212</x:v>
      </x:c>
      <x:c r="R120" s="33" t="n">
        <x:v>17318.0783967253</x:v>
      </x:c>
      <x:c r="S120" s="33" t="n">
        <x:v>17000</x:v>
      </x:c>
    </x:row>
    <x:row r="121" ht="20" customHeight="1">
      <x:c r="A121" s="3"/>
      <x:c r="B121" s="3"/>
      <x:c r="C121" s="17" t="str">
        <x:v>Aplikacje AI (USD mln/rok) — aktywne</x:v>
      </x:c>
      <x:c r="D121" s="32" t="n">
        <x:f>IF(CHOOSE($D$4,ISNUMBER(D122),ISNUMBER(D123),ISNUMBER(D124)),CHOOSE($D$4,D122,D123,D124),"n.a.")</x:f>
        <x:v>8000</x:v>
      </x:c>
      <x:c r="E121" s="32" t="n">
        <x:f>IF(CHOOSE($D$4,ISNUMBER(E122),ISNUMBER(E123),ISNUMBER(E124)),CHOOSE($D$4,E122,E123,E124),"n.a.")</x:f>
        <x:v>10417.162748560871</x:v>
      </x:c>
      <x:c r="F121" s="32" t="n">
        <x:f>IF(CHOOSE($D$4,ISNUMBER(F122),ISNUMBER(F123),ISNUMBER(F124)),CHOOSE($D$4,F122,F123,F124),"n.a.")</x:f>
        <x:v>13564.659966250536</x:v>
      </x:c>
      <x:c r="G121" s="32" t="n">
        <x:f>IF(CHOOSE($D$4,ISNUMBER(G122),ISNUMBER(G123),ISNUMBER(G124)),CHOOSE($D$4,G122,G123,G124),"n.a.")</x:f>
        <x:v>17663.15881216501</x:v>
      </x:c>
      <x:c r="H121" s="32" t="n">
        <x:f>IF(CHOOSE($D$4,ISNUMBER(H122),ISNUMBER(H123),ISNUMBER(H124)),CHOOSE($D$4,H122,H123,H124),"n.a.")</x:f>
        <x:v>23000</x:v>
      </x:c>
      <x:c r="I121" s="32" t="n">
        <x:f>IF(CHOOSE($D$4,ISNUMBER(I122),ISNUMBER(I123),ISNUMBER(I124)),CHOOSE($D$4,I122,I123,I124),"n.a.")</x:f>
        <x:v>26304.180230985807</x:v>
      </x:c>
      <x:c r="J121" s="32" t="n">
        <x:f>IF(CHOOSE($D$4,ISNUMBER(J122),ISNUMBER(J123),ISNUMBER(J124)),CHOOSE($D$4,J122,J123,J124),"n.a.")</x:f>
        <x:v>30083.039027138453</x:v>
      </x:c>
      <x:c r="K121" s="32" t="n">
        <x:f>IF(CHOOSE($D$4,ISNUMBER(K122),ISNUMBER(K123),ISNUMBER(K124)),CHOOSE($D$4,K122,K123,K124),"n.a.")</x:f>
        <x:v>34404.76871589694</x:v>
      </x:c>
      <x:c r="L121" s="32" t="n">
        <x:f>IF(CHOOSE($D$4,ISNUMBER(L122),ISNUMBER(L123),ISNUMBER(L124)),CHOOSE($D$4,L122,L123,L124),"n.a.")</x:f>
        <x:v>39347.35813514502</x:v>
      </x:c>
      <x:c r="M121" s="32" t="n">
        <x:f>IF(CHOOSE($D$4,ISNUMBER(M122),ISNUMBER(M123),ISNUMBER(M124)),CHOOSE($D$4,M122,M123,M124),"n.a.")</x:f>
        <x:v>45000</x:v>
      </x:c>
      <x:c r="N121" s="32" t="n">
        <x:f>IF(CHOOSE($D$4,ISNUMBER(N122),ISNUMBER(N123),ISNUMBER(N124)),CHOOSE($D$4,N122,N123,N124),"n.a.")</x:f>
        <x:v>47844.20261677022</x:v>
      </x:c>
      <x:c r="O121" s="32" t="n">
        <x:f>IF(CHOOSE($D$4,ISNUMBER(O122),ISNUMBER(O123),ISNUMBER(O124)),CHOOSE($D$4,O122,O123,O124),"n.a.")</x:f>
        <x:v>50868.1716452125</x:v>
      </x:c>
      <x:c r="P121" s="32" t="n">
        <x:f>IF(CHOOSE($D$4,ISNUMBER(P122),ISNUMBER(P123),ISNUMBER(P124)),CHOOSE($D$4,P122,P123,P124),"n.a.")</x:f>
        <x:v>54083.26913195984</x:v>
      </x:c>
      <x:c r="Q121" s="32" t="n">
        <x:f>IF(CHOOSE($D$4,ISNUMBER(Q122),ISNUMBER(Q123),ISNUMBER(Q124)),CHOOSE($D$4,Q122,Q123,Q124),"n.a.")</x:f>
        <x:v>57501.57525615113</x:v>
      </x:c>
      <x:c r="R121" s="32" t="n">
        <x:f>IF(CHOOSE($D$4,ISNUMBER(R122),ISNUMBER(R123),ISNUMBER(R124)),CHOOSE($D$4,R122,R123,R124),"n.a.")</x:f>
        <x:v>61135.933718639026</x:v>
      </x:c>
      <x:c r="S121" s="32" t="n">
        <x:f>IF(CHOOSE($D$4,ISNUMBER(S122),ISNUMBER(S123),ISNUMBER(S124)),CHOOSE($D$4,S122,S123,S124),"n.a.")</x:f>
        <x:v>65000</x:v>
      </x:c>
    </x:row>
    <x:row r="122" ht="20" customHeight="1">
      <x:c r="A122" s="3"/>
      <x:c r="B122" s="3"/>
      <x:c r="C122" s="3" t="str">
        <x:v>Pesymistyczny</x:v>
      </x:c>
      <x:c r="D122" s="33" t="n">
        <x:v>5000</x:v>
      </x:c>
      <x:c r="E122" s="33" t="n">
        <x:v>5946.035575013605</x:v>
      </x:c>
      <x:c r="F122" s="33" t="n">
        <x:v>7071.067811865476</x:v>
      </x:c>
      <x:c r="G122" s="33" t="n">
        <x:v>8408.964152537144</x:v>
      </x:c>
      <x:c r="H122" s="33" t="n">
        <x:v>10000</x:v>
      </x:c>
      <x:c r="I122" s="33" t="n">
        <x:v>10844.717711976986</x:v>
      </x:c>
      <x:c r="J122" s="33" t="n">
        <x:v>11760.790225246736</x:v>
      </x:c>
      <x:c r="K122" s="33" t="n">
        <x:v>12754.245006257906</x:v>
      </x:c>
      <x:c r="L122" s="33" t="n">
        <x:v>13831.618672225915</x:v>
      </x:c>
      <x:c r="M122" s="33" t="n">
        <x:v>15000</x:v>
      </x:c>
      <x:c r="N122" s="33" t="n">
        <x:v>15736.725951324723</x:v>
      </x:c>
      <x:c r="O122" s="33" t="n">
        <x:v>16509.636244473135</x:v>
      </x:c>
      <x:c r="P122" s="33" t="n">
        <x:v>17320.508075688773</x:v>
      </x:c>
      <x:c r="Q122" s="33" t="n">
        <x:v>18171.205928321397</x:v>
      </x:c>
      <x:c r="R122" s="33" t="n">
        <x:v>19063.68585993873</x:v>
      </x:c>
      <x:c r="S122" s="33" t="n">
        <x:v>20000</x:v>
      </x:c>
    </x:row>
    <x:row r="123" ht="20" customHeight="1">
      <x:c r="A123" s="3"/>
      <x:c r="B123" s="3"/>
      <x:c r="C123" s="3" t="str">
        <x:v>Bazowy</x:v>
      </x:c>
      <x:c r="D123" s="33" t="n">
        <x:v>8000</x:v>
      </x:c>
      <x:c r="E123" s="33" t="n">
        <x:v>10417.162748560871</x:v>
      </x:c>
      <x:c r="F123" s="33" t="n">
        <x:v>13564.659966250536</x:v>
      </x:c>
      <x:c r="G123" s="33" t="n">
        <x:v>17663.15881216501</x:v>
      </x:c>
      <x:c r="H123" s="33" t="n">
        <x:v>23000</x:v>
      </x:c>
      <x:c r="I123" s="33" t="n">
        <x:v>26304.180230985807</x:v>
      </x:c>
      <x:c r="J123" s="33" t="n">
        <x:v>30083.039027138453</x:v>
      </x:c>
      <x:c r="K123" s="33" t="n">
        <x:v>34404.76871589694</x:v>
      </x:c>
      <x:c r="L123" s="33" t="n">
        <x:v>39347.35813514502</x:v>
      </x:c>
      <x:c r="M123" s="33" t="n">
        <x:v>45000</x:v>
      </x:c>
      <x:c r="N123" s="33" t="n">
        <x:v>47844.20261677022</x:v>
      </x:c>
      <x:c r="O123" s="33" t="n">
        <x:v>50868.1716452125</x:v>
      </x:c>
      <x:c r="P123" s="33" t="n">
        <x:v>54083.26913195984</x:v>
      </x:c>
      <x:c r="Q123" s="33" t="n">
        <x:v>57501.57525615113</x:v>
      </x:c>
      <x:c r="R123" s="33" t="n">
        <x:v>61135.933718639026</x:v>
      </x:c>
      <x:c r="S123" s="33" t="n">
        <x:v>65000</x:v>
      </x:c>
    </x:row>
    <x:row r="124" ht="20" customHeight="1">
      <x:c r="A124" s="3"/>
      <x:c r="B124" s="3"/>
      <x:c r="C124" s="3" t="str">
        <x:v>Optymistyczny</x:v>
      </x:c>
      <x:c r="D124" s="33" t="n">
        <x:v>10000</x:v>
      </x:c>
      <x:c r="E124" s="33" t="n">
        <x:v>14564.753151219702</x:v>
      </x:c>
      <x:c r="F124" s="33" t="n">
        <x:v>21213.203435596424</x:v>
      </x:c>
      <x:c r="G124" s="33" t="n">
        <x:v>30896.507158606768</x:v>
      </x:c>
      <x:c r="H124" s="33" t="n">
        <x:v>45000</x:v>
      </x:c>
      <x:c r="I124" s="33" t="n">
        <x:v>52792.23043403284</x:v>
      </x:c>
      <x:c r="J124" s="33" t="n">
        <x:v>61933.768760000516</x:v>
      </x:c>
      <x:c r="K124" s="33" t="n">
        <x:v>72658.26204502338</x:v>
      </x:c>
      <x:c r="L124" s="33" t="n">
        <x:v>85239.81584038258</x:v>
      </x:c>
      <x:c r="M124" s="33" t="n">
        <x:v>100000</x:v>
      </x:c>
      <x:c r="N124" s="33" t="n">
        <x:v>108148.3747120199</x:v>
      </x:c>
      <x:c r="O124" s="33" t="n">
        <x:v>116960.70952851465</x:v>
      </x:c>
      <x:c r="P124" s="33" t="n">
        <x:v>126491.10640673518</x:v>
      </x:c>
      <x:c r="Q124" s="33" t="n">
        <x:v>136798.07573413575</x:v>
      </x:c>
      <x:c r="R124" s="33" t="n">
        <x:v>147944.8955437859</x:v>
      </x:c>
      <x:c r="S124" s="33" t="n">
        <x:v>160000</x:v>
      </x:c>
    </x:row>
    <x:row r="125" ht="20" customHeight="1">
      <x:c r="A125" s="3"/>
      <x:c r="B125" s="3"/>
      <x:c r="C125" s="17" t="str">
        <x:v>Reklama (USD mln/rok) — aktywne</x:v>
      </x:c>
      <x:c r="D125" s="32" t="n">
        <x:f>IF(CHOOSE($D$4,ISNUMBER(D126),ISNUMBER(D127),ISNUMBER(D128)),CHOOSE($D$4,D126,D127,D128),"n.a.")</x:f>
        <x:v>2400</x:v>
      </x:c>
      <x:c r="E125" s="32" t="n">
        <x:f>IF(CHOOSE($D$4,ISNUMBER(E126),ISNUMBER(E127),ISNUMBER(E128)),CHOOSE($D$4,E126,E127,E128),"n.a.")</x:f>
        <x:v>2537.691032257354</x:v>
      </x:c>
      <x:c r="F125" s="32" t="n">
        <x:f>IF(CHOOSE($D$4,ISNUMBER(F126),ISNUMBER(F127),ISNUMBER(F128)),CHOOSE($D$4,F126,F127,F128),"n.a.")</x:f>
        <x:v>2683.281572999748</x:v>
      </x:c>
      <x:c r="G125" s="32" t="n">
        <x:f>IF(CHOOSE($D$4,ISNUMBER(G126),ISNUMBER(G127),ISNUMBER(G128)),CHOOSE($D$4,G126,G127,G128),"n.a.")</x:f>
        <x:v>2837.2248270095274</x:v>
      </x:c>
      <x:c r="H125" s="32" t="n">
        <x:f>IF(CHOOSE($D$4,ISNUMBER(H126),ISNUMBER(H127),ISNUMBER(H128)),CHOOSE($D$4,H126,H127,H128),"n.a.")</x:f>
        <x:v>3000</x:v>
      </x:c>
      <x:c r="I125" s="32" t="n">
        <x:f>IF(CHOOSE($D$4,ISNUMBER(I126),ISNUMBER(I127),ISNUMBER(I128)),CHOOSE($D$4,I126,I127,I128),"n.a.")</x:f>
        <x:v>3177.6715231464364</x:v>
      </x:c>
      <x:c r="J125" s="32" t="n">
        <x:f>IF(CHOOSE($D$4,ISNUMBER(J126),ISNUMBER(J127),ISNUMBER(J128)),CHOOSE($D$4,J126,J127,J128),"n.a.")</x:f>
        <x:v>3365.8654363385986</x:v>
      </x:c>
      <x:c r="K125" s="32" t="n">
        <x:f>IF(CHOOSE($D$4,ISNUMBER(K126),ISNUMBER(K127),ISNUMBER(K128)),CHOOSE($D$4,K126,K127,K128),"n.a.")</x:f>
        <x:v>3565.2049159320063</x:v>
      </x:c>
      <x:c r="L125" s="32" t="n">
        <x:f>IF(CHOOSE($D$4,ISNUMBER(L126),ISNUMBER(L127),ISNUMBER(L128)),CHOOSE($D$4,L126,L127,L128),"n.a.")</x:f>
        <x:v>3776.3500451796076</x:v>
      </x:c>
      <x:c r="M125" s="32" t="n">
        <x:f>IF(CHOOSE($D$4,ISNUMBER(M126),ISNUMBER(M127),ISNUMBER(M128)),CHOOSE($D$4,M126,M127,M128),"n.a.")</x:f>
        <x:v>4000</x:v>
      </x:c>
      <x:c r="N125" s="32" t="n">
        <x:f>IF(CHOOSE($D$4,ISNUMBER(N126),ISNUMBER(N127),ISNUMBER(N128)),CHOOSE($D$4,N126,N127,N128),"n.a.")</x:f>
        <x:v>4151.563262224854</x:v>
      </x:c>
      <x:c r="O125" s="32" t="n">
        <x:f>IF(CHOOSE($D$4,ISNUMBER(O126),ISNUMBER(O127),ISNUMBER(O128)),CHOOSE($D$4,O126,O127,O128),"n.a.")</x:f>
        <x:v>4308.8693800637675</x:v>
      </x:c>
      <x:c r="P125" s="32" t="n">
        <x:f>IF(CHOOSE($D$4,ISNUMBER(P126),ISNUMBER(P127),ISNUMBER(P128)),CHOOSE($D$4,P126,P127,P128),"n.a.")</x:f>
        <x:v>4472.13595499958</x:v>
      </x:c>
      <x:c r="Q125" s="32" t="n">
        <x:f>IF(CHOOSE($D$4,ISNUMBER(Q126),ISNUMBER(Q127),ISNUMBER(Q128)),CHOOSE($D$4,Q126,Q127,Q128),"n.a.")</x:f>
        <x:v>4641.588833612779</x:v>
      </x:c>
      <x:c r="R125" s="32" t="n">
        <x:f>IF(CHOOSE($D$4,ISNUMBER(R126),ISNUMBER(R127),ISNUMBER(R128)),CHOOSE($D$4,R126,R127,R128),"n.a.")</x:f>
        <x:v>4817.462419994981</x:v>
      </x:c>
      <x:c r="S125" s="32" t="n">
        <x:f>IF(CHOOSE($D$4,ISNUMBER(S126),ISNUMBER(S127),ISNUMBER(S128)),CHOOSE($D$4,S126,S127,S128),"n.a.")</x:f>
        <x:v>5000</x:v>
      </x:c>
    </x:row>
    <x:row r="126" ht="20" customHeight="1">
      <x:c r="A126" s="3"/>
      <x:c r="B126" s="3"/>
      <x:c r="C126" s="3" t="str">
        <x:v>Pesymistyczny</x:v>
      </x:c>
      <x:c r="D126" s="33" t="n">
        <x:v>2100</x:v>
      </x:c>
      <x:c r="E126" s="33" t="n">
        <x:v>2148.307427936128</x:v>
      </x:c>
      <x:c r="F126" s="33" t="n">
        <x:v>2197.726097583591</x:v>
      </x:c>
      <x:c r="G126" s="33" t="n">
        <x:v>2248.2815714323374</x:v>
      </x:c>
      <x:c r="H126" s="33" t="n">
        <x:v>2300</x:v>
      </x:c>
      <x:c r="I126" s="33" t="n">
        <x:v>2338.6771399904956</x:v>
      </x:c>
      <x:c r="J126" s="33" t="n">
        <x:v>2378.004680484402</x:v>
      </x:c>
      <x:c r="K126" s="33" t="n">
        <x:v>2417.993558712727</x:v>
      </x:c>
      <x:c r="L126" s="33" t="n">
        <x:v>2458.6548958285744</x:v>
      </x:c>
      <x:c r="M126" s="33" t="n">
        <x:v>2500</x:v>
      </x:c>
      <x:c r="N126" s="33" t="n">
        <x:v>2532.2736424086584</x:v>
      </x:c>
      <x:c r="O126" s="33" t="n">
        <x:v>2564.9639200150455</x:v>
      </x:c>
      <x:c r="P126" s="33" t="n">
        <x:v>2598.076211353316</x:v>
      </x:c>
      <x:c r="Q126" s="33" t="n">
        <x:v>2631.6159643915794</x:v>
      </x:c>
      <x:c r="R126" s="33" t="n">
        <x:v>2665.5886974282557</x:v>
      </x:c>
      <x:c r="S126" s="33" t="n">
        <x:v>2700</x:v>
      </x:c>
    </x:row>
    <x:row r="127" ht="20" customHeight="1">
      <x:c r="A127" s="3"/>
      <x:c r="B127" s="3"/>
      <x:c r="C127" s="3" t="str">
        <x:v>Bazowy</x:v>
      </x:c>
      <x:c r="D127" s="33" t="n">
        <x:v>2400</x:v>
      </x:c>
      <x:c r="E127" s="33" t="n">
        <x:v>2537.691032257354</x:v>
      </x:c>
      <x:c r="F127" s="33" t="n">
        <x:v>2683.281572999748</x:v>
      </x:c>
      <x:c r="G127" s="33" t="n">
        <x:v>2837.2248270095274</x:v>
      </x:c>
      <x:c r="H127" s="33" t="n">
        <x:v>3000</x:v>
      </x:c>
      <x:c r="I127" s="33" t="n">
        <x:v>3177.6715231464364</x:v>
      </x:c>
      <x:c r="J127" s="33" t="n">
        <x:v>3365.8654363385986</x:v>
      </x:c>
      <x:c r="K127" s="33" t="n">
        <x:v>3565.2049159320063</x:v>
      </x:c>
      <x:c r="L127" s="33" t="n">
        <x:v>3776.3500451796076</x:v>
      </x:c>
      <x:c r="M127" s="33" t="n">
        <x:v>4000</x:v>
      </x:c>
      <x:c r="N127" s="33" t="n">
        <x:v>4151.563262224854</x:v>
      </x:c>
      <x:c r="O127" s="33" t="n">
        <x:v>4308.8693800637675</x:v>
      </x:c>
      <x:c r="P127" s="33" t="n">
        <x:v>4472.13595499958</x:v>
      </x:c>
      <x:c r="Q127" s="33" t="n">
        <x:v>4641.588833612779</x:v>
      </x:c>
      <x:c r="R127" s="33" t="n">
        <x:v>4817.462419994981</x:v>
      </x:c>
      <x:c r="S127" s="33" t="n">
        <x:v>5000</x:v>
      </x:c>
    </x:row>
    <x:row r="128" ht="20" customHeight="1">
      <x:c r="A128" s="3"/>
      <x:c r="B128" s="3"/>
      <x:c r="C128" s="3" t="str">
        <x:v>Optymistyczny</x:v>
      </x:c>
      <x:c r="D128" s="33" t="n">
        <x:v>2600</x:v>
      </x:c>
      <x:c r="E128" s="33" t="n">
        <x:v>2895.642943843473</x:v>
      </x:c>
      <x:c r="F128" s="33" t="n">
        <x:v>3224.90309931942</x:v>
      </x:c>
      <x:c r="G128" s="33" t="n">
        <x:v>3591.6030400473937</x:v>
      </x:c>
      <x:c r="H128" s="33" t="n">
        <x:v>4000</x:v>
      </x:c>
      <x:c r="I128" s="33" t="n">
        <x:v>4473.7076588805785</x:v>
      </x:c>
      <x:c r="J128" s="33" t="n">
        <x:v>5003.515054281687</x:v>
      </x:c>
      <x:c r="K128" s="33" t="n">
        <x:v>5596.065904916064</x:v>
      </x:c>
      <x:c r="L128" s="33" t="n">
        <x:v>6258.7907246058685</x:v>
      </x:c>
      <x:c r="M128" s="33" t="n">
        <x:v>7000</x:v>
      </x:c>
      <x:c r="N128" s="33" t="n">
        <x:v>7428.737856576762</x:v>
      </x:c>
      <x:c r="O128" s="33" t="n">
        <x:v>7883.7351631052425</x:v>
      </x:c>
      <x:c r="P128" s="33" t="n">
        <x:v>8366.600265340756</x:v>
      </x:c>
      <x:c r="Q128" s="33" t="n">
        <x:v>8879.040017426008</x:v>
      </x:c>
      <x:c r="R128" s="33" t="n">
        <x:v>9422.865815358939</x:v>
      </x:c>
      <x:c r="S128" s="33" t="n">
        <x:v>10000</x:v>
      </x:c>
    </x:row>
    <x:row r="129" ht="20" customHeight="1">
      <x:c r="A129" s="3"/>
      <x:c r="B129" s="3"/>
      <x:c r="C129" s="35" t="str">
        <x:v>Chmura: marża cash przed SBC — aktywne</x:v>
      </x:c>
      <x:c r="D129" s="36" t="n">
        <x:f>IF(CHOOSE($D$4,ISNUMBER(D130),ISNUMBER(D131),ISNUMBER(D132)),CHOOSE($D$4,D130,D131,D132),"n.a.")</x:f>
        <x:v>0.64</x:v>
      </x:c>
      <x:c r="E129" s="36" t="n">
        <x:f>IF(CHOOSE($D$4,ISNUMBER(E130),ISNUMBER(E131),ISNUMBER(E132)),CHOOSE($D$4,E130,E131,E132),"n.a.")</x:f>
        <x:v>0.6374852165968409</x:v>
      </x:c>
      <x:c r="F129" s="36" t="n">
        <x:f>IF(CHOOSE($D$4,ISNUMBER(F130),ISNUMBER(F131),ISNUMBER(F132)),CHOOSE($D$4,F130,F131,F132),"n.a.")</x:f>
        <x:v>0.6349803146555018</x:v>
      </x:c>
      <x:c r="G129" s="36" t="n">
        <x:f>IF(CHOOSE($D$4,ISNUMBER(G130),ISNUMBER(G131),ISNUMBER(G132)),CHOOSE($D$4,G130,G131,G132),"n.a.")</x:f>
        <x:v>0.6324852553482698</x:v>
      </x:c>
      <x:c r="H129" s="36" t="n">
        <x:f>IF(CHOOSE($D$4,ISNUMBER(H130),ISNUMBER(H131),ISNUMBER(H132)),CHOOSE($D$4,H130,H131,H132),"n.a.")</x:f>
        <x:v>0.63</x:v>
      </x:c>
      <x:c r="I129" s="36" t="n">
        <x:f>IF(CHOOSE($D$4,ISNUMBER(I130),ISNUMBER(I131),ISNUMBER(I132)),CHOOSE($D$4,I130,I131,I132),"n.a.")</x:f>
        <x:v>0.6279871792898715</x:v>
      </x:c>
      <x:c r="J129" s="36" t="n">
        <x:f>IF(CHOOSE($D$4,ISNUMBER(J130),ISNUMBER(J131),ISNUMBER(J132)),CHOOSE($D$4,J130,J131,J132),"n.a.")</x:f>
        <x:v>0.6259807894483321</x:v>
      </x:c>
      <x:c r="K129" s="36" t="n">
        <x:f>IF(CHOOSE($D$4,ISNUMBER(K130),ISNUMBER(K131),ISNUMBER(K132)),CHOOSE($D$4,K130,K131,K132),"n.a.")</x:f>
        <x:v>0.6239808099290557</x:v>
      </x:c>
      <x:c r="L129" s="36" t="n">
        <x:f>IF(CHOOSE($D$4,ISNUMBER(L130),ISNUMBER(L131),ISNUMBER(L132)),CHOOSE($D$4,L130,L131,L132),"n.a.")</x:f>
        <x:v>0.6219872202513606</x:v>
      </x:c>
      <x:c r="M129" s="36" t="n">
        <x:f>IF(CHOOSE($D$4,ISNUMBER(M130),ISNUMBER(M131),ISNUMBER(M132)),CHOOSE($D$4,M130,M131,M132),"n.a.")</x:f>
        <x:v>0.62</x:v>
      </x:c>
      <x:c r="N129" s="36" t="n">
        <x:f>IF(CHOOSE($D$4,ISNUMBER(N130),ISNUMBER(N131),ISNUMBER(N132)),CHOOSE($D$4,N130,N131,N132),"n.a.")</x:f>
        <x:v>0.6166209598953223</x:v>
      </x:c>
      <x:c r="O129" s="36" t="n">
        <x:f>IF(CHOOSE($D$4,ISNUMBER(O130),ISNUMBER(O131),ISNUMBER(O132)),CHOOSE($D$4,O130,O131,O132),"n.a.")</x:f>
        <x:v>0.613260335777788</x:v>
      </x:c>
      <x:c r="P129" s="36" t="n">
        <x:f>IF(CHOOSE($D$4,ISNUMBER(P130),ISNUMBER(P131),ISNUMBER(P132)),CHOOSE($D$4,P130,P131,P132),"n.a.")</x:f>
        <x:v>0.6099180272790763</x:v>
      </x:c>
      <x:c r="Q129" s="36" t="n">
        <x:f>IF(CHOOSE($D$4,ISNUMBER(Q130),ISNUMBER(Q131),ISNUMBER(Q132)),CHOOSE($D$4,Q130,Q131,Q132),"n.a.")</x:f>
        <x:v>0.6065939345778796</x:v>
      </x:c>
      <x:c r="R129" s="36" t="n">
        <x:f>IF(CHOOSE($D$4,ISNUMBER(R130),ISNUMBER(R131),ISNUMBER(R132)),CHOOSE($D$4,R130,R131,R132),"n.a.")</x:f>
        <x:v>0.6032879583969232</x:v>
      </x:c>
      <x:c r="S129" s="36" t="n">
        <x:f>IF(CHOOSE($D$4,ISNUMBER(S130),ISNUMBER(S131),ISNUMBER(S132)),CHOOSE($D$4,S130,S131,S132),"n.a.")</x:f>
        <x:v>0.6</x:v>
      </x:c>
    </x:row>
    <x:row r="130" ht="20" customHeight="1">
      <x:c r="A130" s="3"/>
      <x:c r="B130" s="3"/>
      <x:c r="C130" s="10" t="str">
        <x:v>Pesymistyczny</x:v>
      </x:c>
      <x:c r="D130" s="37" t="n">
        <x:v>0.56</x:v>
      </x:c>
      <x:c r="E130" s="37" t="n">
        <x:v>0.549720402947169</x:v>
      </x:c>
      <x:c r="F130" s="37" t="n">
        <x:v>0.5396295025292817</x:v>
      </x:c>
      <x:c r="G130" s="37" t="n">
        <x:v>0.5297238349510304</x:v>
      </x:c>
      <x:c r="H130" s="37" t="n">
        <x:v>0.52</x:v>
      </x:c>
      <x:c r="I130" s="37" t="n">
        <x:v>0.5159370020330342</x:v>
      </x:c>
      <x:c r="J130" s="37" t="n">
        <x:v>0.511905750128529</x:v>
      </x:c>
      <x:c r="K130" s="37" t="n">
        <x:v>0.5079059962399706</x:v>
      </x:c>
      <x:c r="L130" s="37" t="n">
        <x:v>0.5039374942589461</x:v>
      </x:c>
      <x:c r="M130" s="37" t="n">
        <x:v>0.5</x:v>
      </x:c>
      <x:c r="N130" s="37" t="n">
        <x:v>0.49660971338974735</x:v>
      </x:c>
      <x:c r="O130" s="37" t="n">
        <x:v>0.493242414866094</x:v>
      </x:c>
      <x:c r="P130" s="37" t="n">
        <x:v>0.4898979485566356</x:v>
      </x:c>
      <x:c r="Q130" s="37" t="n">
        <x:v>0.48657615964587203</x:v>
      </x:c>
      <x:c r="R130" s="37" t="n">
        <x:v>0.4832768943680409</x:v>
      </x:c>
      <x:c r="S130" s="37" t="n">
        <x:v>0.48</x:v>
      </x:c>
    </x:row>
    <x:row r="131" ht="20" customHeight="1">
      <x:c r="A131" s="3"/>
      <x:c r="B131" s="3"/>
      <x:c r="C131" s="10" t="str">
        <x:v>Bazowy</x:v>
      </x:c>
      <x:c r="D131" s="37" t="n">
        <x:v>0.64</x:v>
      </x:c>
      <x:c r="E131" s="37" t="n">
        <x:v>0.6374852165968409</x:v>
      </x:c>
      <x:c r="F131" s="37" t="n">
        <x:v>0.6349803146555018</x:v>
      </x:c>
      <x:c r="G131" s="37" t="n">
        <x:v>0.6324852553482698</x:v>
      </x:c>
      <x:c r="H131" s="37" t="n">
        <x:v>0.63</x:v>
      </x:c>
      <x:c r="I131" s="37" t="n">
        <x:v>0.6279871792898715</x:v>
      </x:c>
      <x:c r="J131" s="37" t="n">
        <x:v>0.6259807894483321</x:v>
      </x:c>
      <x:c r="K131" s="37" t="n">
        <x:v>0.6239808099290557</x:v>
      </x:c>
      <x:c r="L131" s="37" t="n">
        <x:v>0.6219872202513606</x:v>
      </x:c>
      <x:c r="M131" s="37" t="n">
        <x:v>0.62</x:v>
      </x:c>
      <x:c r="N131" s="37" t="n">
        <x:v>0.6166209598953223</x:v>
      </x:c>
      <x:c r="O131" s="37" t="n">
        <x:v>0.613260335777788</x:v>
      </x:c>
      <x:c r="P131" s="37" t="n">
        <x:v>0.6099180272790763</x:v>
      </x:c>
      <x:c r="Q131" s="37" t="n">
        <x:v>0.6065939345778796</x:v>
      </x:c>
      <x:c r="R131" s="37" t="n">
        <x:v>0.6032879583969232</x:v>
      </x:c>
      <x:c r="S131" s="37" t="n">
        <x:v>0.6</x:v>
      </x:c>
    </x:row>
    <x:row r="132" ht="20" customHeight="1">
      <x:c r="A132" s="3"/>
      <x:c r="B132" s="3"/>
      <x:c r="C132" s="10" t="str">
        <x:v>Optymistyczny</x:v>
      </x:c>
      <x:c r="D132" s="37" t="n">
        <x:v>0.68</x:v>
      </x:c>
      <x:c r="E132" s="37" t="n">
        <x:v>0.6849457803724038</x:v>
      </x:c>
      <x:c r="F132" s="37" t="n">
        <x:v>0.6899275324264137</x:v>
      </x:c>
      <x:c r="G132" s="37" t="n">
        <x:v>0.6949455177914954</x:v>
      </x:c>
      <x:c r="H132" s="37" t="n">
        <x:v>0.7</x:v>
      </x:c>
      <x:c r="I132" s="37" t="n">
        <x:v>0.7</x:v>
      </x:c>
      <x:c r="J132" s="37" t="n">
        <x:v>0.7</x:v>
      </x:c>
      <x:c r="K132" s="37" t="n">
        <x:v>0.7</x:v>
      </x:c>
      <x:c r="L132" s="37" t="n">
        <x:v>0.7</x:v>
      </x:c>
      <x:c r="M132" s="37" t="n">
        <x:v>0.7</x:v>
      </x:c>
      <x:c r="N132" s="37" t="n">
        <x:v>0.7</x:v>
      </x:c>
      <x:c r="O132" s="37" t="n">
        <x:v>0.7</x:v>
      </x:c>
      <x:c r="P132" s="37" t="n">
        <x:v>0.7</x:v>
      </x:c>
      <x:c r="Q132" s="37" t="n">
        <x:v>0.7</x:v>
      </x:c>
      <x:c r="R132" s="37" t="n">
        <x:v>0.7</x:v>
      </x:c>
      <x:c r="S132" s="37" t="n">
        <x:v>0.7</x:v>
      </x:c>
    </x:row>
    <x:row r="133" ht="20" customHeight="1">
      <x:c r="A133" s="3"/>
      <x:c r="B133" s="3"/>
      <x:c r="C133" s="35" t="str">
        <x:v>Aplikacje AI: marża cash przed SBC — aktywne</x:v>
      </x:c>
      <x:c r="D133" s="36" t="n">
        <x:f>IF(CHOOSE($D$4,ISNUMBER(D134),ISNUMBER(D135),ISNUMBER(D136)),CHOOSE($D$4,D134,D135,D136),"n.a.")</x:f>
        <x:v>0.5</x:v>
      </x:c>
      <x:c r="E133" s="36" t="n">
        <x:f>IF(CHOOSE($D$4,ISNUMBER(E134),ISNUMBER(E135),ISNUMBER(E136)),CHOOSE($D$4,E134,E135,E136),"n.a.")</x:f>
        <x:v>0.5120568445422226</x:v>
      </x:c>
      <x:c r="F133" s="36" t="n">
        <x:f>IF(CHOOSE($D$4,ISNUMBER(F134),ISNUMBER(F135),ISNUMBER(F136)),CHOOSE($D$4,F134,F135,F136),"n.a.")</x:f>
        <x:v>0.5244044240850758</x:v>
      </x:c>
      <x:c r="G133" s="36" t="n">
        <x:f>IF(CHOOSE($D$4,ISNUMBER(G134),ISNUMBER(G135),ISNUMBER(G136)),CHOOSE($D$4,G134,G135,G136),"n.a.")</x:f>
        <x:v>0.5370497493219708</x:v>
      </x:c>
      <x:c r="H133" s="36" t="n">
        <x:f>IF(CHOOSE($D$4,ISNUMBER(H134),ISNUMBER(H135),ISNUMBER(H136)),CHOOSE($D$4,H134,H135,H136),"n.a.")</x:f>
        <x:v>0.55</x:v>
      </x:c>
      <x:c r="I133" s="36" t="n">
        <x:f>IF(CHOOSE($D$4,ISNUMBER(I134),ISNUMBER(I135),ISNUMBER(I136)),CHOOSE($D$4,I134,I135,I136),"n.a.")</x:f>
        <x:v>0.5596550174465732</x:v>
      </x:c>
      <x:c r="J133" s="36" t="n">
        <x:f>IF(CHOOSE($D$4,ISNUMBER(J134),ISNUMBER(J135),ISNUMBER(J136)),CHOOSE($D$4,J134,J135,J136),"n.a.")</x:f>
        <x:v>0.5694795246420438</x:v>
      </x:c>
      <x:c r="K133" s="36" t="n">
        <x:f>IF(CHOOSE($D$4,ISNUMBER(K134),ISNUMBER(K135),ISNUMBER(K136)),CHOOSE($D$4,K134,K135,K136),"n.a.")</x:f>
        <x:v>0.5794764969072895</x:v>
      </x:c>
      <x:c r="L133" s="36" t="n">
        <x:f>IF(CHOOSE($D$4,ISNUMBER(L134),ISNUMBER(L135),ISNUMBER(L136)),CHOOSE($D$4,L134,L135,L136),"n.a.")</x:f>
        <x:v>0.5896489617936876</x:v>
      </x:c>
      <x:c r="M133" s="36" t="n">
        <x:f>IF(CHOOSE($D$4,ISNUMBER(M134),ISNUMBER(M135),ISNUMBER(M136)),CHOOSE($D$4,M134,M135,M136),"n.a.")</x:f>
        <x:v>0.6</x:v>
      </x:c>
      <x:c r="N133" s="36" t="n">
        <x:f>IF(CHOOSE($D$4,ISNUMBER(N134),ISNUMBER(N135),ISNUMBER(N136)),CHOOSE($D$4,N134,N135,N136),"n.a.")</x:f>
        <x:v>0.6032879583969232</x:v>
      </x:c>
      <x:c r="O133" s="36" t="n">
        <x:f>IF(CHOOSE($D$4,ISNUMBER(O134),ISNUMBER(O135),ISNUMBER(O136)),CHOOSE($D$4,O134,O135,O136),"n.a.")</x:f>
        <x:v>0.6065939345778795</x:v>
      </x:c>
      <x:c r="P133" s="36" t="n">
        <x:f>IF(CHOOSE($D$4,ISNUMBER(P134),ISNUMBER(P135),ISNUMBER(P136)),CHOOSE($D$4,P134,P135,P136),"n.a.")</x:f>
        <x:v>0.6099180272790763</x:v>
      </x:c>
      <x:c r="Q133" s="36" t="n">
        <x:f>IF(CHOOSE($D$4,ISNUMBER(Q134),ISNUMBER(Q135),ISNUMBER(Q136)),CHOOSE($D$4,Q134,Q135,Q136),"n.a.")</x:f>
        <x:v>0.613260335777788</x:v>
      </x:c>
      <x:c r="R133" s="36" t="n">
        <x:f>IF(CHOOSE($D$4,ISNUMBER(R134),ISNUMBER(R135),ISNUMBER(R136)),CHOOSE($D$4,R134,R135,R136),"n.a.")</x:f>
        <x:v>0.6166209598953223</x:v>
      </x:c>
      <x:c r="S133" s="36" t="n">
        <x:f>IF(CHOOSE($D$4,ISNUMBER(S134),ISNUMBER(S135),ISNUMBER(S136)),CHOOSE($D$4,S134,S135,S136),"n.a.")</x:f>
        <x:v>0.62</x:v>
      </x:c>
    </x:row>
    <x:row r="134" ht="20" customHeight="1">
      <x:c r="A134" s="3"/>
      <x:c r="B134" s="3"/>
      <x:c r="C134" s="10" t="str">
        <x:v>Pesymistyczny</x:v>
      </x:c>
      <x:c r="D134" s="37" t="n">
        <x:v>0.35</x:v>
      </x:c>
      <x:c r="E134" s="37" t="n">
        <x:v>0.36188120777001936</x:v>
      </x:c>
      <x:c r="F134" s="37" t="n">
        <x:v>0.3741657386773941</x:v>
      </x:c>
      <x:c r="G134" s="37" t="n">
        <x:v>0.3868672840535339</x:v>
      </x:c>
      <x:c r="H134" s="37" t="n">
        <x:v>0.4</x:v>
      </x:c>
      <x:c r="I134" s="37" t="n">
        <x:v>0.40392231906939413</x:v>
      </x:c>
      <x:c r="J134" s="37" t="n">
        <x:v>0.4078830996059936</x:v>
      </x:c>
      <x:c r="K134" s="37" t="n">
        <x:v>0.41188271875516397</x:v>
      </x:c>
      <x:c r="L134" s="37" t="n">
        <x:v>0.41592155736048214</x:v>
      </x:c>
      <x:c r="M134" s="37" t="n">
        <x:v>0.41999999999999993</x:v>
      </x:c>
      <x:c r="N134" s="37" t="n">
        <x:v>0.42485737450084193</x:v>
      </x:c>
      <x:c r="O134" s="37" t="n">
        <x:v>0.42977092539940154</x:v>
      </x:c>
      <x:c r="P134" s="37" t="n">
        <x:v>0.43474130238568315</x:v>
      </x:c>
      <x:c r="Q134" s="37" t="n">
        <x:v>0.4397691626634713</x:v>
      </x:c>
      <x:c r="R134" s="37" t="n">
        <x:v>0.44485517103722877</x:v>
      </x:c>
      <x:c r="S134" s="37" t="n">
        <x:v>0.44999999999999996</x:v>
      </x:c>
    </x:row>
    <x:row r="135" ht="20" customHeight="1">
      <x:c r="A135" s="3"/>
      <x:c r="B135" s="3"/>
      <x:c r="C135" s="10" t="str">
        <x:v>Bazowy</x:v>
      </x:c>
      <x:c r="D135" s="37" t="n">
        <x:v>0.5</x:v>
      </x:c>
      <x:c r="E135" s="37" t="n">
        <x:v>0.5120568445422226</x:v>
      </x:c>
      <x:c r="F135" s="37" t="n">
        <x:v>0.5244044240850758</x:v>
      </x:c>
      <x:c r="G135" s="37" t="n">
        <x:v>0.5370497493219708</x:v>
      </x:c>
      <x:c r="H135" s="37" t="n">
        <x:v>0.55</x:v>
      </x:c>
      <x:c r="I135" s="37" t="n">
        <x:v>0.5596550174465732</x:v>
      </x:c>
      <x:c r="J135" s="37" t="n">
        <x:v>0.5694795246420438</x:v>
      </x:c>
      <x:c r="K135" s="37" t="n">
        <x:v>0.5794764969072895</x:v>
      </x:c>
      <x:c r="L135" s="37" t="n">
        <x:v>0.5896489617936876</x:v>
      </x:c>
      <x:c r="M135" s="37" t="n">
        <x:v>0.6</x:v>
      </x:c>
      <x:c r="N135" s="37" t="n">
        <x:v>0.6032879583969232</x:v>
      </x:c>
      <x:c r="O135" s="37" t="n">
        <x:v>0.6065939345778795</x:v>
      </x:c>
      <x:c r="P135" s="37" t="n">
        <x:v>0.6099180272790763</x:v>
      </x:c>
      <x:c r="Q135" s="37" t="n">
        <x:v>0.613260335777788</x:v>
      </x:c>
      <x:c r="R135" s="37" t="n">
        <x:v>0.6166209598953223</x:v>
      </x:c>
      <x:c r="S135" s="37" t="n">
        <x:v>0.62</x:v>
      </x:c>
    </x:row>
    <x:row r="136" ht="20" customHeight="1">
      <x:c r="A136" s="3"/>
      <x:c r="B136" s="3"/>
      <x:c r="C136" s="10" t="str">
        <x:v>Optymistyczny</x:v>
      </x:c>
      <x:c r="D136" s="37" t="n">
        <x:v>0.55</x:v>
      </x:c>
      <x:c r="E136" s="37" t="n">
        <x:v>0.5734563369911335</x:v>
      </x:c>
      <x:c r="F136" s="37" t="n">
        <x:v>0.5979130371550699</x:v>
      </x:c>
      <x:c r="G136" s="37" t="n">
        <x:v>0.6234127638657998</x:v>
      </x:c>
      <x:c r="H136" s="37" t="n">
        <x:v>0.6499999999999999</x:v>
      </x:c>
      <x:c r="I136" s="37" t="n">
        <x:v>0.6597057863145059</x:v>
      </x:c>
      <x:c r="J136" s="37" t="n">
        <x:v>0.6695564992259085</x:v>
      </x:c>
      <x:c r="K136" s="37" t="n">
        <x:v>0.6795543027751013</x:v>
      </x:c>
      <x:c r="L136" s="37" t="n">
        <x:v>0.6897013933163909</x:v>
      </x:c>
      <x:c r="M136" s="37" t="n">
        <x:v>0.7</x:v>
      </x:c>
      <x:c r="N136" s="37" t="n">
        <x:v>0.7032943299412789</x:v>
      </x:c>
      <x:c r="O136" s="37" t="n">
        <x:v>0.7066041636107893</x:v>
      </x:c>
      <x:c r="P136" s="37" t="n">
        <x:v>0.7099295739719539</x:v>
      </x:c>
      <x:c r="Q136" s="37" t="n">
        <x:v>0.7132706343315756</x:v>
      </x:c>
      <x:c r="R136" s="37" t="n">
        <x:v>0.716627418341452</x:v>
      </x:c>
      <x:c r="S136" s="37" t="n">
        <x:v>0.7200000000000001</x:v>
      </x:c>
    </x:row>
    <x:row r="137" ht="20" customHeight="1">
      <x:c r="A137" s="3"/>
      <x:c r="B137" s="3"/>
      <x:c r="C137" s="35" t="str">
        <x:v>SI: SBC / przychody — aktywne</x:v>
      </x:c>
      <x:c r="D137" s="36" t="n">
        <x:f>IF(CHOOSE($D$4,ISNUMBER(D138),ISNUMBER(D139),ISNUMBER(D140)),CHOOSE($D$4,D138,D139,D140),"n.a.")</x:f>
        <x:v>0.1</x:v>
      </x:c>
      <x:c r="E137" s="36" t="n">
        <x:f>IF(CHOOSE($D$4,ISNUMBER(E138),ISNUMBER(E139),ISNUMBER(E140)),CHOOSE($D$4,E138,E139,E140),"n.a.")</x:f>
        <x:v>0.09457416090031759</x:v>
      </x:c>
      <x:c r="F137" s="36" t="n">
        <x:f>IF(CHOOSE($D$4,ISNUMBER(F138),ISNUMBER(F139),ISNUMBER(F140)),CHOOSE($D$4,F138,F139,F140),"n.a.")</x:f>
        <x:v>0.08944271909999159</x:v>
      </x:c>
      <x:c r="G137" s="36" t="n">
        <x:f>IF(CHOOSE($D$4,ISNUMBER(G138),ISNUMBER(G139),ISNUMBER(G140)),CHOOSE($D$4,G138,G139,G140),"n.a.")</x:f>
        <x:v>0.08458970107524513</x:v>
      </x:c>
      <x:c r="H137" s="36" t="n">
        <x:f>IF(CHOOSE($D$4,ISNUMBER(H138),ISNUMBER(H139),ISNUMBER(H140)),CHOOSE($D$4,H138,H139,H140),"n.a.")</x:f>
        <x:v>0.08</x:v>
      </x:c>
      <x:c r="I137" s="36" t="n">
        <x:f>IF(CHOOSE($D$4,ISNUMBER(I138),ISNUMBER(I139),ISNUMBER(I140)),CHOOSE($D$4,I138,I139,I140),"n.a.")</x:f>
        <x:v>0.07552700090359216</x:v>
      </x:c>
      <x:c r="J137" s="36" t="n">
        <x:f>IF(CHOOSE($D$4,ISNUMBER(J138),ISNUMBER(J139),ISNUMBER(J140)),CHOOSE($D$4,J138,J139,J140),"n.a.")</x:f>
        <x:v>0.07130409831864014</x:v>
      </x:c>
      <x:c r="K137" s="36" t="n">
        <x:f>IF(CHOOSE($D$4,ISNUMBER(K138),ISNUMBER(K139),ISNUMBER(K140)),CHOOSE($D$4,K138,K139,K140),"n.a.")</x:f>
        <x:v>0.06731730872677197</x:v>
      </x:c>
      <x:c r="L137" s="36" t="n">
        <x:f>IF(CHOOSE($D$4,ISNUMBER(L138),ISNUMBER(L139),ISNUMBER(L140)),CHOOSE($D$4,L138,L139,L140),"n.a.")</x:f>
        <x:v>0.06355343046292873</x:v>
      </x:c>
      <x:c r="M137" s="36" t="n">
        <x:f>IF(CHOOSE($D$4,ISNUMBER(M138),ISNUMBER(M139),ISNUMBER(M140)),CHOOSE($D$4,M138,M139,M140),"n.a.")</x:f>
        <x:v>0.06</x:v>
      </x:c>
      <x:c r="N137" s="36" t="n">
        <x:f>IF(CHOOSE($D$4,ISNUMBER(N138),ISNUMBER(N139),ISNUMBER(N140)),CHOOSE($D$4,N138,N139,N140),"n.a.")</x:f>
        <x:v>0.05820420692674802</x:v>
      </x:c>
      <x:c r="O137" s="36" t="n">
        <x:f>IF(CHOOSE($D$4,ISNUMBER(O138),ISNUMBER(O139),ISNUMBER(O140)),CHOOSE($D$4,O138,O139,O140),"n.a.")</x:f>
        <x:v>0.05646216173286171</x:v>
      </x:c>
      <x:c r="P137" s="36" t="n">
        <x:f>IF(CHOOSE($D$4,ISNUMBER(P138),ISNUMBER(P139),ISNUMBER(P140)),CHOOSE($D$4,P138,P139,P140),"n.a.")</x:f>
        <x:v>0.05477225575051661</x:v>
      </x:c>
      <x:c r="Q137" s="36" t="n">
        <x:f>IF(CHOOSE($D$4,ISNUMBER(Q138),ISNUMBER(Q139),ISNUMBER(Q140)),CHOOSE($D$4,Q138,Q139,Q140),"n.a.")</x:f>
        <x:v>0.053132928459130556</x:v>
      </x:c>
      <x:c r="R137" s="36" t="n">
        <x:f>IF(CHOOSE($D$4,ISNUMBER(R138),ISNUMBER(R139),ISNUMBER(R140)),CHOOSE($D$4,R138,R139,R140),"n.a.")</x:f>
        <x:v>0.05154266604432223</x:v>
      </x:c>
      <x:c r="S137" s="36" t="n">
        <x:f>IF(CHOOSE($D$4,ISNUMBER(S138),ISNUMBER(S139),ISNUMBER(S140)),CHOOSE($D$4,S138,S139,S140),"n.a.")</x:f>
        <x:v>0.05</x:v>
      </x:c>
    </x:row>
    <x:row r="138" ht="20" customHeight="1">
      <x:c r="A138" s="3"/>
      <x:c r="B138" s="3"/>
      <x:c r="C138" s="10" t="str">
        <x:v>Pesymistyczny</x:v>
      </x:c>
      <x:c r="D138" s="37" t="n">
        <x:v>0.12</x:v>
      </x:c>
      <x:c r="E138" s="37" t="n">
        <x:v>0.11465313506452401</x:v>
      </x:c>
      <x:c r="F138" s="37" t="n">
        <x:v>0.10954451150103323</x:v>
      </x:c>
      <x:c r="G138" s="37" t="n">
        <x:v>0.10466351393921054</x:v>
      </x:c>
      <x:c r="H138" s="37" t="n">
        <x:v>0.1</x:v>
      </x:c>
      <x:c r="I138" s="37" t="n">
        <x:v>0.0956352499790037</x:v>
      </x:c>
      <x:c r="J138" s="37" t="n">
        <x:v>0.09146101038546528</x:v>
      </x:c>
      <x:c r="K138" s="37" t="n">
        <x:v>0.08746896591546224</x:v>
      </x:c>
      <x:c r="L138" s="37" t="n">
        <x:v>0.08365116420730186</x:v>
      </x:c>
      <x:c r="M138" s="37" t="n">
        <x:v>0.08</x:v>
      </x:c>
      <x:c r="N138" s="37" t="n">
        <x:v>0.07823924708783722</x:v>
      </x:c>
      <x:c r="O138" s="37" t="n">
        <x:v>0.07651724731089557</x:v>
      </x:c>
      <x:c r="P138" s="37" t="n">
        <x:v>0.07483314773547883</x:v>
      </x:c>
      <x:c r="Q138" s="37" t="n">
        <x:v>0.07318611420045944</x:v>
      </x:c>
      <x:c r="R138" s="37" t="n">
        <x:v>0.07157533090410523</x:v>
      </x:c>
      <x:c r="S138" s="37" t="n">
        <x:v>0.07</x:v>
      </x:c>
    </x:row>
    <x:row r="139" ht="20" customHeight="1">
      <x:c r="A139" s="3"/>
      <x:c r="B139" s="3"/>
      <x:c r="C139" s="10" t="str">
        <x:v>Bazowy</x:v>
      </x:c>
      <x:c r="D139" s="37" t="n">
        <x:v>0.1</x:v>
      </x:c>
      <x:c r="E139" s="37" t="n">
        <x:v>0.09457416090031759</x:v>
      </x:c>
      <x:c r="F139" s="37" t="n">
        <x:v>0.08944271909999159</x:v>
      </x:c>
      <x:c r="G139" s="37" t="n">
        <x:v>0.08458970107524513</x:v>
      </x:c>
      <x:c r="H139" s="37" t="n">
        <x:v>0.08</x:v>
      </x:c>
      <x:c r="I139" s="37" t="n">
        <x:v>0.07552700090359216</x:v>
      </x:c>
      <x:c r="J139" s="37" t="n">
        <x:v>0.07130409831864014</x:v>
      </x:c>
      <x:c r="K139" s="37" t="n">
        <x:v>0.06731730872677197</x:v>
      </x:c>
      <x:c r="L139" s="37" t="n">
        <x:v>0.06355343046292873</x:v>
      </x:c>
      <x:c r="M139" s="37" t="n">
        <x:v>0.06</x:v>
      </x:c>
      <x:c r="N139" s="37" t="n">
        <x:v>0.05820420692674802</x:v>
      </x:c>
      <x:c r="O139" s="37" t="n">
        <x:v>0.05646216173286171</x:v>
      </x:c>
      <x:c r="P139" s="37" t="n">
        <x:v>0.05477225575051661</x:v>
      </x:c>
      <x:c r="Q139" s="37" t="n">
        <x:v>0.053132928459130556</x:v>
      </x:c>
      <x:c r="R139" s="37" t="n">
        <x:v>0.05154266604432223</x:v>
      </x:c>
      <x:c r="S139" s="37" t="n">
        <x:v>0.05</x:v>
      </x:c>
    </x:row>
    <x:row r="140" ht="20" customHeight="1">
      <x:c r="A140" s="3"/>
      <x:c r="B140" s="3"/>
      <x:c r="C140" s="10" t="str">
        <x:v>Optymistyczny</x:v>
      </x:c>
      <x:c r="D140" s="37" t="n">
        <x:v>0.09</x:v>
      </x:c>
      <x:c r="E140" s="37" t="n">
        <x:v>0.08451939741783773</x:v>
      </x:c>
      <x:c r="F140" s="37" t="n">
        <x:v>0.07937253933193772</x:v>
      </x:c>
      <x:c r="G140" s="37" t="n">
        <x:v>0.07453910217621112</x:v>
      </x:c>
      <x:c r="H140" s="37" t="n">
        <x:v>0.07</x:v>
      </x:c>
      <x:c r="I140" s="37" t="n">
        <x:v>0.06544439133039291</x:v>
      </x:c>
      <x:c r="J140" s="37" t="n">
        <x:v>0.06118526223722296</x:v>
      </x:c>
      <x:c r="K140" s="37" t="n">
        <x:v>0.05720331779293616</x:v>
      </x:c>
      <x:c r="L140" s="37" t="n">
        <x:v>0.05348051878625345</x:v>
      </x:c>
      <x:c r="M140" s="37" t="n">
        <x:v>0.05</x:v>
      </x:c>
      <x:c r="N140" s="37" t="n">
        <x:v>0.048174624199949806</x:v>
      </x:c>
      <x:c r="O140" s="37" t="n">
        <x:v>0.04641588833612779</x:v>
      </x:c>
      <x:c r="P140" s="37" t="n">
        <x:v>0.044721359549995794</x:v>
      </x:c>
      <x:c r="Q140" s="37" t="n">
        <x:v>0.04308869380063768</x:v>
      </x:c>
      <x:c r="R140" s="37" t="n">
        <x:v>0.041515632622248534</x:v>
      </x:c>
      <x:c r="S140" s="37" t="n">
        <x:v>0.04</x:v>
      </x:c>
    </x:row>
    <x:row r="141" ht="20" customHeight="1">
      <x:c r="A141" s="3"/>
      <x:c r="B141" s="3"/>
      <x:c r="C141" s="35" t="str">
        <x:v>Roczna stopa wymiany zestawów — aktywne</x:v>
      </x:c>
      <x:c r="D141" s="36" t="n">
        <x:f>IF(CHOOSE($D$4,ISNUMBER(D142),ISNUMBER(D143),ISNUMBER(D144)),CHOOSE($D$4,D142,D143,D144),"n.a.")</x:f>
        <x:v>0.04</x:v>
      </x:c>
      <x:c r="E141" s="36" t="n">
        <x:f>IF(CHOOSE($D$4,ISNUMBER(E142),ISNUMBER(E143),ISNUMBER(E144)),CHOOSE($D$4,E142,E143,E144),"n.a.")</x:f>
        <x:v>0.04</x:v>
      </x:c>
      <x:c r="F141" s="36" t="n">
        <x:f>IF(CHOOSE($D$4,ISNUMBER(F142),ISNUMBER(F143),ISNUMBER(F144)),CHOOSE($D$4,F142,F143,F144),"n.a.")</x:f>
        <x:v>0.04</x:v>
      </x:c>
      <x:c r="G141" s="36" t="n">
        <x:f>IF(CHOOSE($D$4,ISNUMBER(G142),ISNUMBER(G143),ISNUMBER(G144)),CHOOSE($D$4,G142,G143,G144),"n.a.")</x:f>
        <x:v>0.04</x:v>
      </x:c>
      <x:c r="H141" s="36" t="n">
        <x:f>IF(CHOOSE($D$4,ISNUMBER(H142),ISNUMBER(H143),ISNUMBER(H144)),CHOOSE($D$4,H142,H143,H144),"n.a.")</x:f>
        <x:v>0.04</x:v>
      </x:c>
      <x:c r="I141" s="36" t="n">
        <x:f>IF(CHOOSE($D$4,ISNUMBER(I142),ISNUMBER(I143),ISNUMBER(I144)),CHOOSE($D$4,I142,I143,I144),"n.a.")</x:f>
        <x:v>0.04</x:v>
      </x:c>
      <x:c r="J141" s="36" t="n">
        <x:f>IF(CHOOSE($D$4,ISNUMBER(J142),ISNUMBER(J143),ISNUMBER(J144)),CHOOSE($D$4,J142,J143,J144),"n.a.")</x:f>
        <x:v>0.04</x:v>
      </x:c>
      <x:c r="K141" s="36" t="n">
        <x:f>IF(CHOOSE($D$4,ISNUMBER(K142),ISNUMBER(K143),ISNUMBER(K144)),CHOOSE($D$4,K142,K143,K144),"n.a.")</x:f>
        <x:v>0.04</x:v>
      </x:c>
      <x:c r="L141" s="36" t="n">
        <x:f>IF(CHOOSE($D$4,ISNUMBER(L142),ISNUMBER(L143),ISNUMBER(L144)),CHOOSE($D$4,L142,L143,L144),"n.a.")</x:f>
        <x:v>0.04</x:v>
      </x:c>
      <x:c r="M141" s="36" t="n">
        <x:f>IF(CHOOSE($D$4,ISNUMBER(M142),ISNUMBER(M143),ISNUMBER(M144)),CHOOSE($D$4,M142,M143,M144),"n.a.")</x:f>
        <x:v>0.04</x:v>
      </x:c>
      <x:c r="N141" s="36" t="n">
        <x:f>IF(CHOOSE($D$4,ISNUMBER(N142),ISNUMBER(N143),ISNUMBER(N144)),CHOOSE($D$4,N142,N143,N144),"n.a.")</x:f>
        <x:v>0.04</x:v>
      </x:c>
      <x:c r="O141" s="36" t="n">
        <x:f>IF(CHOOSE($D$4,ISNUMBER(O142),ISNUMBER(O143),ISNUMBER(O144)),CHOOSE($D$4,O142,O143,O144),"n.a.")</x:f>
        <x:v>0.04</x:v>
      </x:c>
      <x:c r="P141" s="36" t="n">
        <x:f>IF(CHOOSE($D$4,ISNUMBER(P142),ISNUMBER(P143),ISNUMBER(P144)),CHOOSE($D$4,P142,P143,P144),"n.a.")</x:f>
        <x:v>0.04</x:v>
      </x:c>
      <x:c r="Q141" s="36" t="n">
        <x:f>IF(CHOOSE($D$4,ISNUMBER(Q142),ISNUMBER(Q143),ISNUMBER(Q144)),CHOOSE($D$4,Q142,Q143,Q144),"n.a.")</x:f>
        <x:v>0.04</x:v>
      </x:c>
      <x:c r="R141" s="36" t="n">
        <x:f>IF(CHOOSE($D$4,ISNUMBER(R142),ISNUMBER(R143),ISNUMBER(R144)),CHOOSE($D$4,R142,R143,R144),"n.a.")</x:f>
        <x:v>0.04</x:v>
      </x:c>
      <x:c r="S141" s="36" t="n">
        <x:f>IF(CHOOSE($D$4,ISNUMBER(S142),ISNUMBER(S143),ISNUMBER(S144)),CHOOSE($D$4,S142,S143,S144),"n.a.")</x:f>
        <x:v>0.04</x:v>
      </x:c>
    </x:row>
    <x:row r="142" ht="20" customHeight="1">
      <x:c r="A142" s="3"/>
      <x:c r="B142" s="3"/>
      <x:c r="C142" s="10" t="str">
        <x:v>Pesymistyczny</x:v>
      </x:c>
      <x:c r="D142" s="37" t="n">
        <x:v>0.04</x:v>
      </x:c>
      <x:c r="E142" s="37" t="n">
        <x:v>0.04</x:v>
      </x:c>
      <x:c r="F142" s="37" t="n">
        <x:v>0.04</x:v>
      </x:c>
      <x:c r="G142" s="37" t="n">
        <x:v>0.04</x:v>
      </x:c>
      <x:c r="H142" s="37" t="n">
        <x:v>0.04</x:v>
      </x:c>
      <x:c r="I142" s="37" t="n">
        <x:v>0.04</x:v>
      </x:c>
      <x:c r="J142" s="37" t="n">
        <x:v>0.04</x:v>
      </x:c>
      <x:c r="K142" s="37" t="n">
        <x:v>0.04</x:v>
      </x:c>
      <x:c r="L142" s="37" t="n">
        <x:v>0.04</x:v>
      </x:c>
      <x:c r="M142" s="37" t="n">
        <x:v>0.04</x:v>
      </x:c>
      <x:c r="N142" s="37" t="n">
        <x:v>0.04</x:v>
      </x:c>
      <x:c r="O142" s="37" t="n">
        <x:v>0.04</x:v>
      </x:c>
      <x:c r="P142" s="37" t="n">
        <x:v>0.04</x:v>
      </x:c>
      <x:c r="Q142" s="37" t="n">
        <x:v>0.04</x:v>
      </x:c>
      <x:c r="R142" s="37" t="n">
        <x:v>0.04</x:v>
      </x:c>
      <x:c r="S142" s="37" t="n">
        <x:v>0.04</x:v>
      </x:c>
    </x:row>
    <x:row r="143" ht="20" customHeight="1">
      <x:c r="A143" s="3"/>
      <x:c r="B143" s="3"/>
      <x:c r="C143" s="10" t="str">
        <x:v>Bazowy</x:v>
      </x:c>
      <x:c r="D143" s="37" t="n">
        <x:v>0.04</x:v>
      </x:c>
      <x:c r="E143" s="37" t="n">
        <x:v>0.04</x:v>
      </x:c>
      <x:c r="F143" s="37" t="n">
        <x:v>0.04</x:v>
      </x:c>
      <x:c r="G143" s="37" t="n">
        <x:v>0.04</x:v>
      </x:c>
      <x:c r="H143" s="37" t="n">
        <x:v>0.04</x:v>
      </x:c>
      <x:c r="I143" s="37" t="n">
        <x:v>0.04</x:v>
      </x:c>
      <x:c r="J143" s="37" t="n">
        <x:v>0.04</x:v>
      </x:c>
      <x:c r="K143" s="37" t="n">
        <x:v>0.04</x:v>
      </x:c>
      <x:c r="L143" s="37" t="n">
        <x:v>0.04</x:v>
      </x:c>
      <x:c r="M143" s="37" t="n">
        <x:v>0.04</x:v>
      </x:c>
      <x:c r="N143" s="37" t="n">
        <x:v>0.04</x:v>
      </x:c>
      <x:c r="O143" s="37" t="n">
        <x:v>0.04</x:v>
      </x:c>
      <x:c r="P143" s="37" t="n">
        <x:v>0.04</x:v>
      </x:c>
      <x:c r="Q143" s="37" t="n">
        <x:v>0.04</x:v>
      </x:c>
      <x:c r="R143" s="37" t="n">
        <x:v>0.04</x:v>
      </x:c>
      <x:c r="S143" s="37" t="n">
        <x:v>0.04</x:v>
      </x:c>
    </x:row>
    <x:row r="144" ht="20" customHeight="1">
      <x:c r="A144" s="3"/>
      <x:c r="B144" s="3"/>
      <x:c r="C144" s="10" t="str">
        <x:v>Optymistyczny</x:v>
      </x:c>
      <x:c r="D144" s="37" t="n">
        <x:v>0.04</x:v>
      </x:c>
      <x:c r="E144" s="37" t="n">
        <x:v>0.04</x:v>
      </x:c>
      <x:c r="F144" s="37" t="n">
        <x:v>0.04</x:v>
      </x:c>
      <x:c r="G144" s="37" t="n">
        <x:v>0.04</x:v>
      </x:c>
      <x:c r="H144" s="37" t="n">
        <x:v>0.04</x:v>
      </x:c>
      <x:c r="I144" s="37" t="n">
        <x:v>0.04</x:v>
      </x:c>
      <x:c r="J144" s="37" t="n">
        <x:v>0.04</x:v>
      </x:c>
      <x:c r="K144" s="37" t="n">
        <x:v>0.04</x:v>
      </x:c>
      <x:c r="L144" s="37" t="n">
        <x:v>0.04</x:v>
      </x:c>
      <x:c r="M144" s="37" t="n">
        <x:v>0.04</x:v>
      </x:c>
      <x:c r="N144" s="37" t="n">
        <x:v>0.04</x:v>
      </x:c>
      <x:c r="O144" s="37" t="n">
        <x:v>0.04</x:v>
      </x:c>
      <x:c r="P144" s="37" t="n">
        <x:v>0.04</x:v>
      </x:c>
      <x:c r="Q144" s="37" t="n">
        <x:v>0.04</x:v>
      </x:c>
      <x:c r="R144" s="37" t="n">
        <x:v>0.04</x:v>
      </x:c>
      <x:c r="S144" s="37" t="n">
        <x:v>0.04</x:v>
      </x:c>
    </x:row>
    <x:row r="145" ht="20" customHeight="1">
      <x:c r="A145" s="3"/>
      <x:c r="B145" s="3"/>
      <x:c r="C145" s="35" t="str">
        <x:v>Space: SG&amp;A / przychody — aktywne</x:v>
      </x:c>
      <x:c r="D145" s="36" t="n">
        <x:f>IF(CHOOSE($D$4,ISNUMBER(D146),ISNUMBER(D147),ISNUMBER(D148)),CHOOSE($D$4,D146,D147,D148),"n.a.")</x:f>
        <x:v>0.05</x:v>
      </x:c>
      <x:c r="E145" s="36" t="n">
        <x:f>IF(CHOOSE($D$4,ISNUMBER(E146),ISNUMBER(E147),ISNUMBER(E148)),CHOOSE($D$4,E146,E147,E148),"n.a.")</x:f>
        <x:v>0.05</x:v>
      </x:c>
      <x:c r="F145" s="36" t="n">
        <x:f>IF(CHOOSE($D$4,ISNUMBER(F146),ISNUMBER(F147),ISNUMBER(F148)),CHOOSE($D$4,F146,F147,F148),"n.a.")</x:f>
        <x:v>0.05</x:v>
      </x:c>
      <x:c r="G145" s="36" t="n">
        <x:f>IF(CHOOSE($D$4,ISNUMBER(G146),ISNUMBER(G147),ISNUMBER(G148)),CHOOSE($D$4,G146,G147,G148),"n.a.")</x:f>
        <x:v>0.05</x:v>
      </x:c>
      <x:c r="H145" s="36" t="n">
        <x:f>IF(CHOOSE($D$4,ISNUMBER(H146),ISNUMBER(H147),ISNUMBER(H148)),CHOOSE($D$4,H146,H147,H148),"n.a.")</x:f>
        <x:v>0.05</x:v>
      </x:c>
      <x:c r="I145" s="36" t="n">
        <x:f>IF(CHOOSE($D$4,ISNUMBER(I146),ISNUMBER(I147),ISNUMBER(I148)),CHOOSE($D$4,I146,I147,I148),"n.a.")</x:f>
        <x:v>0.05</x:v>
      </x:c>
      <x:c r="J145" s="36" t="n">
        <x:f>IF(CHOOSE($D$4,ISNUMBER(J146),ISNUMBER(J147),ISNUMBER(J148)),CHOOSE($D$4,J146,J147,J148),"n.a.")</x:f>
        <x:v>0.05</x:v>
      </x:c>
      <x:c r="K145" s="36" t="n">
        <x:f>IF(CHOOSE($D$4,ISNUMBER(K146),ISNUMBER(K147),ISNUMBER(K148)),CHOOSE($D$4,K146,K147,K148),"n.a.")</x:f>
        <x:v>0.05</x:v>
      </x:c>
      <x:c r="L145" s="36" t="n">
        <x:f>IF(CHOOSE($D$4,ISNUMBER(L146),ISNUMBER(L147),ISNUMBER(L148)),CHOOSE($D$4,L146,L147,L148),"n.a.")</x:f>
        <x:v>0.05</x:v>
      </x:c>
      <x:c r="M145" s="36" t="n">
        <x:f>IF(CHOOSE($D$4,ISNUMBER(M146),ISNUMBER(M147),ISNUMBER(M148)),CHOOSE($D$4,M146,M147,M148),"n.a.")</x:f>
        <x:v>0.05</x:v>
      </x:c>
      <x:c r="N145" s="36" t="n">
        <x:f>IF(CHOOSE($D$4,ISNUMBER(N146),ISNUMBER(N147),ISNUMBER(N148)),CHOOSE($D$4,N146,N147,N148),"n.a.")</x:f>
        <x:v>0.05</x:v>
      </x:c>
      <x:c r="O145" s="36" t="n">
        <x:f>IF(CHOOSE($D$4,ISNUMBER(O146),ISNUMBER(O147),ISNUMBER(O148)),CHOOSE($D$4,O146,O147,O148),"n.a.")</x:f>
        <x:v>0.05</x:v>
      </x:c>
      <x:c r="P145" s="36" t="n">
        <x:f>IF(CHOOSE($D$4,ISNUMBER(P146),ISNUMBER(P147),ISNUMBER(P148)),CHOOSE($D$4,P146,P147,P148),"n.a.")</x:f>
        <x:v>0.05</x:v>
      </x:c>
      <x:c r="Q145" s="36" t="n">
        <x:f>IF(CHOOSE($D$4,ISNUMBER(Q146),ISNUMBER(Q147),ISNUMBER(Q148)),CHOOSE($D$4,Q146,Q147,Q148),"n.a.")</x:f>
        <x:v>0.05</x:v>
      </x:c>
      <x:c r="R145" s="36" t="n">
        <x:f>IF(CHOOSE($D$4,ISNUMBER(R146),ISNUMBER(R147),ISNUMBER(R148)),CHOOSE($D$4,R146,R147,R148),"n.a.")</x:f>
        <x:v>0.05</x:v>
      </x:c>
      <x:c r="S145" s="36" t="n">
        <x:f>IF(CHOOSE($D$4,ISNUMBER(S146),ISNUMBER(S147),ISNUMBER(S148)),CHOOSE($D$4,S146,S147,S148),"n.a.")</x:f>
        <x:v>0.05</x:v>
      </x:c>
    </x:row>
    <x:row r="146" ht="20" customHeight="1">
      <x:c r="A146" s="3"/>
      <x:c r="B146" s="3"/>
      <x:c r="C146" s="10" t="str">
        <x:v>Pesymistyczny</x:v>
      </x:c>
      <x:c r="D146" s="37" t="n">
        <x:v>0.05</x:v>
      </x:c>
      <x:c r="E146" s="37" t="n">
        <x:v>0.05</x:v>
      </x:c>
      <x:c r="F146" s="37" t="n">
        <x:v>0.05</x:v>
      </x:c>
      <x:c r="G146" s="37" t="n">
        <x:v>0.05</x:v>
      </x:c>
      <x:c r="H146" s="37" t="n">
        <x:v>0.05</x:v>
      </x:c>
      <x:c r="I146" s="37" t="n">
        <x:v>0.05</x:v>
      </x:c>
      <x:c r="J146" s="37" t="n">
        <x:v>0.05</x:v>
      </x:c>
      <x:c r="K146" s="37" t="n">
        <x:v>0.05</x:v>
      </x:c>
      <x:c r="L146" s="37" t="n">
        <x:v>0.05</x:v>
      </x:c>
      <x:c r="M146" s="37" t="n">
        <x:v>0.05</x:v>
      </x:c>
      <x:c r="N146" s="37" t="n">
        <x:v>0.05</x:v>
      </x:c>
      <x:c r="O146" s="37" t="n">
        <x:v>0.05</x:v>
      </x:c>
      <x:c r="P146" s="37" t="n">
        <x:v>0.05</x:v>
      </x:c>
      <x:c r="Q146" s="37" t="n">
        <x:v>0.05</x:v>
      </x:c>
      <x:c r="R146" s="37" t="n">
        <x:v>0.05</x:v>
      </x:c>
      <x:c r="S146" s="37" t="n">
        <x:v>0.05</x:v>
      </x:c>
    </x:row>
    <x:row r="147" ht="20" customHeight="1">
      <x:c r="A147" s="3"/>
      <x:c r="B147" s="3"/>
      <x:c r="C147" s="10" t="str">
        <x:v>Bazowy</x:v>
      </x:c>
      <x:c r="D147" s="37" t="n">
        <x:v>0.05</x:v>
      </x:c>
      <x:c r="E147" s="37" t="n">
        <x:v>0.05</x:v>
      </x:c>
      <x:c r="F147" s="37" t="n">
        <x:v>0.05</x:v>
      </x:c>
      <x:c r="G147" s="37" t="n">
        <x:v>0.05</x:v>
      </x:c>
      <x:c r="H147" s="37" t="n">
        <x:v>0.05</x:v>
      </x:c>
      <x:c r="I147" s="37" t="n">
        <x:v>0.05</x:v>
      </x:c>
      <x:c r="J147" s="37" t="n">
        <x:v>0.05</x:v>
      </x:c>
      <x:c r="K147" s="37" t="n">
        <x:v>0.05</x:v>
      </x:c>
      <x:c r="L147" s="37" t="n">
        <x:v>0.05</x:v>
      </x:c>
      <x:c r="M147" s="37" t="n">
        <x:v>0.05</x:v>
      </x:c>
      <x:c r="N147" s="37" t="n">
        <x:v>0.05</x:v>
      </x:c>
      <x:c r="O147" s="37" t="n">
        <x:v>0.05</x:v>
      </x:c>
      <x:c r="P147" s="37" t="n">
        <x:v>0.05</x:v>
      </x:c>
      <x:c r="Q147" s="37" t="n">
        <x:v>0.05</x:v>
      </x:c>
      <x:c r="R147" s="37" t="n">
        <x:v>0.05</x:v>
      </x:c>
      <x:c r="S147" s="37" t="n">
        <x:v>0.05</x:v>
      </x:c>
    </x:row>
    <x:row r="148" ht="20" customHeight="1">
      <x:c r="A148" s="3"/>
      <x:c r="B148" s="3"/>
      <x:c r="C148" s="10" t="str">
        <x:v>Optymistyczny</x:v>
      </x:c>
      <x:c r="D148" s="37" t="n">
        <x:v>0.05</x:v>
      </x:c>
      <x:c r="E148" s="37" t="n">
        <x:v>0.05</x:v>
      </x:c>
      <x:c r="F148" s="37" t="n">
        <x:v>0.05</x:v>
      </x:c>
      <x:c r="G148" s="37" t="n">
        <x:v>0.05</x:v>
      </x:c>
      <x:c r="H148" s="37" t="n">
        <x:v>0.05</x:v>
      </x:c>
      <x:c r="I148" s="37" t="n">
        <x:v>0.05</x:v>
      </x:c>
      <x:c r="J148" s="37" t="n">
        <x:v>0.05</x:v>
      </x:c>
      <x:c r="K148" s="37" t="n">
        <x:v>0.05</x:v>
      </x:c>
      <x:c r="L148" s="37" t="n">
        <x:v>0.05</x:v>
      </x:c>
      <x:c r="M148" s="37" t="n">
        <x:v>0.05</x:v>
      </x:c>
      <x:c r="N148" s="37" t="n">
        <x:v>0.05</x:v>
      </x:c>
      <x:c r="O148" s="37" t="n">
        <x:v>0.05</x:v>
      </x:c>
      <x:c r="P148" s="37" t="n">
        <x:v>0.05</x:v>
      </x:c>
      <x:c r="Q148" s="37" t="n">
        <x:v>0.05</x:v>
      </x:c>
      <x:c r="R148" s="37" t="n">
        <x:v>0.05</x:v>
      </x:c>
      <x:c r="S148" s="37" t="n">
        <x:v>0.05</x:v>
      </x:c>
    </x:row>
    <x:row r="149" ht="20" customHeight="1">
      <x:c r="A149" s="3"/>
      <x:c r="B149" s="3"/>
      <x:c r="C149" s="35" t="str">
        <x:v>Space: SBC / przychody — aktywne</x:v>
      </x:c>
      <x:c r="D149" s="36" t="n">
        <x:f>IF(CHOOSE($D$4,ISNUMBER(D150),ISNUMBER(D151),ISNUMBER(D152)),CHOOSE($D$4,D150,D151,D152),"n.a.")</x:f>
        <x:v>0.07</x:v>
      </x:c>
      <x:c r="E149" s="36" t="n">
        <x:f>IF(CHOOSE($D$4,ISNUMBER(E150),ISNUMBER(E151),ISNUMBER(E152)),CHOOSE($D$4,E150,E151,E152),"n.a.")</x:f>
        <x:v>0.07</x:v>
      </x:c>
      <x:c r="F149" s="36" t="n">
        <x:f>IF(CHOOSE($D$4,ISNUMBER(F150),ISNUMBER(F151),ISNUMBER(F152)),CHOOSE($D$4,F150,F151,F152),"n.a.")</x:f>
        <x:v>0.07</x:v>
      </x:c>
      <x:c r="G149" s="36" t="n">
        <x:f>IF(CHOOSE($D$4,ISNUMBER(G150),ISNUMBER(G151),ISNUMBER(G152)),CHOOSE($D$4,G150,G151,G152),"n.a.")</x:f>
        <x:v>0.07</x:v>
      </x:c>
      <x:c r="H149" s="36" t="n">
        <x:f>IF(CHOOSE($D$4,ISNUMBER(H150),ISNUMBER(H151),ISNUMBER(H152)),CHOOSE($D$4,H150,H151,H152),"n.a.")</x:f>
        <x:v>0.07</x:v>
      </x:c>
      <x:c r="I149" s="36" t="n">
        <x:f>IF(CHOOSE($D$4,ISNUMBER(I150),ISNUMBER(I151),ISNUMBER(I152)),CHOOSE($D$4,I150,I151,I152),"n.a.")</x:f>
        <x:v>0.07</x:v>
      </x:c>
      <x:c r="J149" s="36" t="n">
        <x:f>IF(CHOOSE($D$4,ISNUMBER(J150),ISNUMBER(J151),ISNUMBER(J152)),CHOOSE($D$4,J150,J151,J152),"n.a.")</x:f>
        <x:v>0.07</x:v>
      </x:c>
      <x:c r="K149" s="36" t="n">
        <x:f>IF(CHOOSE($D$4,ISNUMBER(K150),ISNUMBER(K151),ISNUMBER(K152)),CHOOSE($D$4,K150,K151,K152),"n.a.")</x:f>
        <x:v>0.07</x:v>
      </x:c>
      <x:c r="L149" s="36" t="n">
        <x:f>IF(CHOOSE($D$4,ISNUMBER(L150),ISNUMBER(L151),ISNUMBER(L152)),CHOOSE($D$4,L150,L151,L152),"n.a.")</x:f>
        <x:v>0.07</x:v>
      </x:c>
      <x:c r="M149" s="36" t="n">
        <x:f>IF(CHOOSE($D$4,ISNUMBER(M150),ISNUMBER(M151),ISNUMBER(M152)),CHOOSE($D$4,M150,M151,M152),"n.a.")</x:f>
        <x:v>0.07</x:v>
      </x:c>
      <x:c r="N149" s="36" t="n">
        <x:f>IF(CHOOSE($D$4,ISNUMBER(N150),ISNUMBER(N151),ISNUMBER(N152)),CHOOSE($D$4,N150,N151,N152),"n.a.")</x:f>
        <x:v>0.07</x:v>
      </x:c>
      <x:c r="O149" s="36" t="n">
        <x:f>IF(CHOOSE($D$4,ISNUMBER(O150),ISNUMBER(O151),ISNUMBER(O152)),CHOOSE($D$4,O150,O151,O152),"n.a.")</x:f>
        <x:v>0.07</x:v>
      </x:c>
      <x:c r="P149" s="36" t="n">
        <x:f>IF(CHOOSE($D$4,ISNUMBER(P150),ISNUMBER(P151),ISNUMBER(P152)),CHOOSE($D$4,P150,P151,P152),"n.a.")</x:f>
        <x:v>0.07</x:v>
      </x:c>
      <x:c r="Q149" s="36" t="n">
        <x:f>IF(CHOOSE($D$4,ISNUMBER(Q150),ISNUMBER(Q151),ISNUMBER(Q152)),CHOOSE($D$4,Q150,Q151,Q152),"n.a.")</x:f>
        <x:v>0.07</x:v>
      </x:c>
      <x:c r="R149" s="36" t="n">
        <x:f>IF(CHOOSE($D$4,ISNUMBER(R150),ISNUMBER(R151),ISNUMBER(R152)),CHOOSE($D$4,R150,R151,R152),"n.a.")</x:f>
        <x:v>0.07</x:v>
      </x:c>
      <x:c r="S149" s="36" t="n">
        <x:f>IF(CHOOSE($D$4,ISNUMBER(S150),ISNUMBER(S151),ISNUMBER(S152)),CHOOSE($D$4,S150,S151,S152),"n.a.")</x:f>
        <x:v>0.07</x:v>
      </x:c>
    </x:row>
    <x:row r="150" ht="20" customHeight="1">
      <x:c r="A150" s="3"/>
      <x:c r="B150" s="3"/>
      <x:c r="C150" s="10" t="str">
        <x:v>Pesymistyczny</x:v>
      </x:c>
      <x:c r="D150" s="37" t="n">
        <x:v>0.07</x:v>
      </x:c>
      <x:c r="E150" s="37" t="n">
        <x:v>0.07</x:v>
      </x:c>
      <x:c r="F150" s="37" t="n">
        <x:v>0.07</x:v>
      </x:c>
      <x:c r="G150" s="37" t="n">
        <x:v>0.07</x:v>
      </x:c>
      <x:c r="H150" s="37" t="n">
        <x:v>0.07</x:v>
      </x:c>
      <x:c r="I150" s="37" t="n">
        <x:v>0.07</x:v>
      </x:c>
      <x:c r="J150" s="37" t="n">
        <x:v>0.07</x:v>
      </x:c>
      <x:c r="K150" s="37" t="n">
        <x:v>0.07</x:v>
      </x:c>
      <x:c r="L150" s="37" t="n">
        <x:v>0.07</x:v>
      </x:c>
      <x:c r="M150" s="37" t="n">
        <x:v>0.07</x:v>
      </x:c>
      <x:c r="N150" s="37" t="n">
        <x:v>0.07</x:v>
      </x:c>
      <x:c r="O150" s="37" t="n">
        <x:v>0.07</x:v>
      </x:c>
      <x:c r="P150" s="37" t="n">
        <x:v>0.07</x:v>
      </x:c>
      <x:c r="Q150" s="37" t="n">
        <x:v>0.07</x:v>
      </x:c>
      <x:c r="R150" s="37" t="n">
        <x:v>0.07</x:v>
      </x:c>
      <x:c r="S150" s="37" t="n">
        <x:v>0.07</x:v>
      </x:c>
    </x:row>
    <x:row r="151" ht="20" customHeight="1">
      <x:c r="A151" s="3"/>
      <x:c r="B151" s="3"/>
      <x:c r="C151" s="10" t="str">
        <x:v>Bazowy</x:v>
      </x:c>
      <x:c r="D151" s="37" t="n">
        <x:v>0.07</x:v>
      </x:c>
      <x:c r="E151" s="37" t="n">
        <x:v>0.07</x:v>
      </x:c>
      <x:c r="F151" s="37" t="n">
        <x:v>0.07</x:v>
      </x:c>
      <x:c r="G151" s="37" t="n">
        <x:v>0.07</x:v>
      </x:c>
      <x:c r="H151" s="37" t="n">
        <x:v>0.07</x:v>
      </x:c>
      <x:c r="I151" s="37" t="n">
        <x:v>0.07</x:v>
      </x:c>
      <x:c r="J151" s="37" t="n">
        <x:v>0.07</x:v>
      </x:c>
      <x:c r="K151" s="37" t="n">
        <x:v>0.07</x:v>
      </x:c>
      <x:c r="L151" s="37" t="n">
        <x:v>0.07</x:v>
      </x:c>
      <x:c r="M151" s="37" t="n">
        <x:v>0.07</x:v>
      </x:c>
      <x:c r="N151" s="37" t="n">
        <x:v>0.07</x:v>
      </x:c>
      <x:c r="O151" s="37" t="n">
        <x:v>0.07</x:v>
      </x:c>
      <x:c r="P151" s="37" t="n">
        <x:v>0.07</x:v>
      </x:c>
      <x:c r="Q151" s="37" t="n">
        <x:v>0.07</x:v>
      </x:c>
      <x:c r="R151" s="37" t="n">
        <x:v>0.07</x:v>
      </x:c>
      <x:c r="S151" s="37" t="n">
        <x:v>0.07</x:v>
      </x:c>
    </x:row>
    <x:row r="152" ht="20" customHeight="1">
      <x:c r="A152" s="3"/>
      <x:c r="B152" s="3"/>
      <x:c r="C152" s="10" t="str">
        <x:v>Optymistyczny</x:v>
      </x:c>
      <x:c r="D152" s="37" t="n">
        <x:v>0.07</x:v>
      </x:c>
      <x:c r="E152" s="37" t="n">
        <x:v>0.07</x:v>
      </x:c>
      <x:c r="F152" s="37" t="n">
        <x:v>0.07</x:v>
      </x:c>
      <x:c r="G152" s="37" t="n">
        <x:v>0.07</x:v>
      </x:c>
      <x:c r="H152" s="37" t="n">
        <x:v>0.07</x:v>
      </x:c>
      <x:c r="I152" s="37" t="n">
        <x:v>0.07</x:v>
      </x:c>
      <x:c r="J152" s="37" t="n">
        <x:v>0.07</x:v>
      </x:c>
      <x:c r="K152" s="37" t="n">
        <x:v>0.07</x:v>
      </x:c>
      <x:c r="L152" s="37" t="n">
        <x:v>0.07</x:v>
      </x:c>
      <x:c r="M152" s="37" t="n">
        <x:v>0.07</x:v>
      </x:c>
      <x:c r="N152" s="37" t="n">
        <x:v>0.07</x:v>
      </x:c>
      <x:c r="O152" s="37" t="n">
        <x:v>0.07</x:v>
      </x:c>
      <x:c r="P152" s="37" t="n">
        <x:v>0.07</x:v>
      </x:c>
      <x:c r="Q152" s="37" t="n">
        <x:v>0.07</x:v>
      </x:c>
      <x:c r="R152" s="37" t="n">
        <x:v>0.07</x:v>
      </x:c>
      <x:c r="S152" s="37" t="n">
        <x:v>0.07</x:v>
      </x:c>
    </x:row>
    <x:row r="153" ht="20" customHeight="1">
      <x:c r="A153" s="3"/>
      <x:c r="B153" s="3"/>
      <x:c r="C153" s="35" t="str">
        <x:v>Reklama: marża cash przed SBC — aktywne</x:v>
      </x:c>
      <x:c r="D153" s="36" t="n">
        <x:f>IF(CHOOSE($D$4,ISNUMBER(D154),ISNUMBER(D155),ISNUMBER(D156)),CHOOSE($D$4,D154,D155,D156),"n.a.")</x:f>
        <x:v>0.4</x:v>
      </x:c>
      <x:c r="E153" s="36" t="n">
        <x:f>IF(CHOOSE($D$4,ISNUMBER(E154),ISNUMBER(E155),ISNUMBER(E156)),CHOOSE($D$4,E154,E155,E156),"n.a.")</x:f>
        <x:v>0.4</x:v>
      </x:c>
      <x:c r="F153" s="36" t="n">
        <x:f>IF(CHOOSE($D$4,ISNUMBER(F154),ISNUMBER(F155),ISNUMBER(F156)),CHOOSE($D$4,F154,F155,F156),"n.a.")</x:f>
        <x:v>0.4</x:v>
      </x:c>
      <x:c r="G153" s="36" t="n">
        <x:f>IF(CHOOSE($D$4,ISNUMBER(G154),ISNUMBER(G155),ISNUMBER(G156)),CHOOSE($D$4,G154,G155,G156),"n.a.")</x:f>
        <x:v>0.4</x:v>
      </x:c>
      <x:c r="H153" s="36" t="n">
        <x:f>IF(CHOOSE($D$4,ISNUMBER(H154),ISNUMBER(H155),ISNUMBER(H156)),CHOOSE($D$4,H154,H155,H156),"n.a.")</x:f>
        <x:v>0.4</x:v>
      </x:c>
      <x:c r="I153" s="36" t="n">
        <x:f>IF(CHOOSE($D$4,ISNUMBER(I154),ISNUMBER(I155),ISNUMBER(I156)),CHOOSE($D$4,I154,I155,I156),"n.a.")</x:f>
        <x:v>0.4</x:v>
      </x:c>
      <x:c r="J153" s="36" t="n">
        <x:f>IF(CHOOSE($D$4,ISNUMBER(J154),ISNUMBER(J155),ISNUMBER(J156)),CHOOSE($D$4,J154,J155,J156),"n.a.")</x:f>
        <x:v>0.4</x:v>
      </x:c>
      <x:c r="K153" s="36" t="n">
        <x:f>IF(CHOOSE($D$4,ISNUMBER(K154),ISNUMBER(K155),ISNUMBER(K156)),CHOOSE($D$4,K154,K155,K156),"n.a.")</x:f>
        <x:v>0.4</x:v>
      </x:c>
      <x:c r="L153" s="36" t="n">
        <x:f>IF(CHOOSE($D$4,ISNUMBER(L154),ISNUMBER(L155),ISNUMBER(L156)),CHOOSE($D$4,L154,L155,L156),"n.a.")</x:f>
        <x:v>0.4</x:v>
      </x:c>
      <x:c r="M153" s="36" t="n">
        <x:f>IF(CHOOSE($D$4,ISNUMBER(M154),ISNUMBER(M155),ISNUMBER(M156)),CHOOSE($D$4,M154,M155,M156),"n.a.")</x:f>
        <x:v>0.4</x:v>
      </x:c>
      <x:c r="N153" s="36" t="n">
        <x:f>IF(CHOOSE($D$4,ISNUMBER(N154),ISNUMBER(N155),ISNUMBER(N156)),CHOOSE($D$4,N154,N155,N156),"n.a.")</x:f>
        <x:v>0.4</x:v>
      </x:c>
      <x:c r="O153" s="36" t="n">
        <x:f>IF(CHOOSE($D$4,ISNUMBER(O154),ISNUMBER(O155),ISNUMBER(O156)),CHOOSE($D$4,O154,O155,O156),"n.a.")</x:f>
        <x:v>0.4</x:v>
      </x:c>
      <x:c r="P153" s="36" t="n">
        <x:f>IF(CHOOSE($D$4,ISNUMBER(P154),ISNUMBER(P155),ISNUMBER(P156)),CHOOSE($D$4,P154,P155,P156),"n.a.")</x:f>
        <x:v>0.4</x:v>
      </x:c>
      <x:c r="Q153" s="36" t="n">
        <x:f>IF(CHOOSE($D$4,ISNUMBER(Q154),ISNUMBER(Q155),ISNUMBER(Q156)),CHOOSE($D$4,Q154,Q155,Q156),"n.a.")</x:f>
        <x:v>0.4</x:v>
      </x:c>
      <x:c r="R153" s="36" t="n">
        <x:f>IF(CHOOSE($D$4,ISNUMBER(R154),ISNUMBER(R155),ISNUMBER(R156)),CHOOSE($D$4,R154,R155,R156),"n.a.")</x:f>
        <x:v>0.4</x:v>
      </x:c>
      <x:c r="S153" s="36" t="n">
        <x:f>IF(CHOOSE($D$4,ISNUMBER(S154),ISNUMBER(S155),ISNUMBER(S156)),CHOOSE($D$4,S154,S155,S156),"n.a.")</x:f>
        <x:v>0.4</x:v>
      </x:c>
    </x:row>
    <x:row r="154" ht="20" customHeight="1">
      <x:c r="A154" s="3"/>
      <x:c r="B154" s="3"/>
      <x:c r="C154" s="10" t="str">
        <x:v>Pesymistyczny</x:v>
      </x:c>
      <x:c r="D154" s="37" t="n">
        <x:v>0.4</x:v>
      </x:c>
      <x:c r="E154" s="37" t="n">
        <x:v>0.4</x:v>
      </x:c>
      <x:c r="F154" s="37" t="n">
        <x:v>0.4</x:v>
      </x:c>
      <x:c r="G154" s="37" t="n">
        <x:v>0.4</x:v>
      </x:c>
      <x:c r="H154" s="37" t="n">
        <x:v>0.4</x:v>
      </x:c>
      <x:c r="I154" s="37" t="n">
        <x:v>0.4</x:v>
      </x:c>
      <x:c r="J154" s="37" t="n">
        <x:v>0.4</x:v>
      </x:c>
      <x:c r="K154" s="37" t="n">
        <x:v>0.4</x:v>
      </x:c>
      <x:c r="L154" s="37" t="n">
        <x:v>0.4</x:v>
      </x:c>
      <x:c r="M154" s="37" t="n">
        <x:v>0.4</x:v>
      </x:c>
      <x:c r="N154" s="37" t="n">
        <x:v>0.4</x:v>
      </x:c>
      <x:c r="O154" s="37" t="n">
        <x:v>0.4</x:v>
      </x:c>
      <x:c r="P154" s="37" t="n">
        <x:v>0.4</x:v>
      </x:c>
      <x:c r="Q154" s="37" t="n">
        <x:v>0.4</x:v>
      </x:c>
      <x:c r="R154" s="37" t="n">
        <x:v>0.4</x:v>
      </x:c>
      <x:c r="S154" s="37" t="n">
        <x:v>0.4</x:v>
      </x:c>
    </x:row>
    <x:row r="155" ht="20" customHeight="1">
      <x:c r="A155" s="3"/>
      <x:c r="B155" s="3"/>
      <x:c r="C155" s="10" t="str">
        <x:v>Bazowy</x:v>
      </x:c>
      <x:c r="D155" s="37" t="n">
        <x:v>0.4</x:v>
      </x:c>
      <x:c r="E155" s="37" t="n">
        <x:v>0.4</x:v>
      </x:c>
      <x:c r="F155" s="37" t="n">
        <x:v>0.4</x:v>
      </x:c>
      <x:c r="G155" s="37" t="n">
        <x:v>0.4</x:v>
      </x:c>
      <x:c r="H155" s="37" t="n">
        <x:v>0.4</x:v>
      </x:c>
      <x:c r="I155" s="37" t="n">
        <x:v>0.4</x:v>
      </x:c>
      <x:c r="J155" s="37" t="n">
        <x:v>0.4</x:v>
      </x:c>
      <x:c r="K155" s="37" t="n">
        <x:v>0.4</x:v>
      </x:c>
      <x:c r="L155" s="37" t="n">
        <x:v>0.4</x:v>
      </x:c>
      <x:c r="M155" s="37" t="n">
        <x:v>0.4</x:v>
      </x:c>
      <x:c r="N155" s="37" t="n">
        <x:v>0.4</x:v>
      </x:c>
      <x:c r="O155" s="37" t="n">
        <x:v>0.4</x:v>
      </x:c>
      <x:c r="P155" s="37" t="n">
        <x:v>0.4</x:v>
      </x:c>
      <x:c r="Q155" s="37" t="n">
        <x:v>0.4</x:v>
      </x:c>
      <x:c r="R155" s="37" t="n">
        <x:v>0.4</x:v>
      </x:c>
      <x:c r="S155" s="37" t="n">
        <x:v>0.4</x:v>
      </x:c>
    </x:row>
    <x:row r="156" ht="20" customHeight="1">
      <x:c r="A156" s="3"/>
      <x:c r="B156" s="3"/>
      <x:c r="C156" s="10" t="str">
        <x:v>Optymistyczny</x:v>
      </x:c>
      <x:c r="D156" s="37" t="n">
        <x:v>0.4</x:v>
      </x:c>
      <x:c r="E156" s="37" t="n">
        <x:v>0.4</x:v>
      </x:c>
      <x:c r="F156" s="37" t="n">
        <x:v>0.4</x:v>
      </x:c>
      <x:c r="G156" s="37" t="n">
        <x:v>0.4</x:v>
      </x:c>
      <x:c r="H156" s="37" t="n">
        <x:v>0.4</x:v>
      </x:c>
      <x:c r="I156" s="37" t="n">
        <x:v>0.4</x:v>
      </x:c>
      <x:c r="J156" s="37" t="n">
        <x:v>0.4</x:v>
      </x:c>
      <x:c r="K156" s="37" t="n">
        <x:v>0.4</x:v>
      </x:c>
      <x:c r="L156" s="37" t="n">
        <x:v>0.4</x:v>
      </x:c>
      <x:c r="M156" s="37" t="n">
        <x:v>0.4</x:v>
      </x:c>
      <x:c r="N156" s="37" t="n">
        <x:v>0.4</x:v>
      </x:c>
      <x:c r="O156" s="37" t="n">
        <x:v>0.4</x:v>
      </x:c>
      <x:c r="P156" s="37" t="n">
        <x:v>0.4</x:v>
      </x:c>
      <x:c r="Q156" s="37" t="n">
        <x:v>0.4</x:v>
      </x:c>
      <x:c r="R156" s="37" t="n">
        <x:v>0.4</x:v>
      </x:c>
      <x:c r="S156" s="37" t="n">
        <x:v>0.4</x:v>
      </x:c>
    </x:row>
    <x:row r="157" ht="20" customHeight="1">
      <x:c r="A157" s="3"/>
      <x:c r="B157" s="3"/>
      <x:c r="C157" s="17" t="str">
        <x:v>AI: ekonomiczna żywotność GPU (lata) — aktywne</x:v>
      </x:c>
      <x:c r="D157" s="32" t="n">
        <x:f>IF(CHOOSE($D$4,ISNUMBER(D158),ISNUMBER(D159),ISNUMBER(D160)),CHOOSE($D$4,D158,D159,D160),"n.a.")</x:f>
        <x:v>5</x:v>
      </x:c>
      <x:c r="E157" s="32" t="n">
        <x:f>IF(CHOOSE($D$4,ISNUMBER(E158),ISNUMBER(E159),ISNUMBER(E160)),CHOOSE($D$4,E158,E159,E160),"n.a.")</x:f>
        <x:v>5</x:v>
      </x:c>
      <x:c r="F157" s="32" t="n">
        <x:f>IF(CHOOSE($D$4,ISNUMBER(F158),ISNUMBER(F159),ISNUMBER(F160)),CHOOSE($D$4,F158,F159,F160),"n.a.")</x:f>
        <x:v>5</x:v>
      </x:c>
      <x:c r="G157" s="32" t="n">
        <x:f>IF(CHOOSE($D$4,ISNUMBER(G158),ISNUMBER(G159),ISNUMBER(G160)),CHOOSE($D$4,G158,G159,G160),"n.a.")</x:f>
        <x:v>5</x:v>
      </x:c>
      <x:c r="H157" s="32" t="n">
        <x:f>IF(CHOOSE($D$4,ISNUMBER(H158),ISNUMBER(H159),ISNUMBER(H160)),CHOOSE($D$4,H158,H159,H160),"n.a.")</x:f>
        <x:v>5</x:v>
      </x:c>
      <x:c r="I157" s="32" t="n">
        <x:f>IF(CHOOSE($D$4,ISNUMBER(I158),ISNUMBER(I159),ISNUMBER(I160)),CHOOSE($D$4,I158,I159,I160),"n.a.")</x:f>
        <x:v>5</x:v>
      </x:c>
      <x:c r="J157" s="32" t="n">
        <x:f>IF(CHOOSE($D$4,ISNUMBER(J158),ISNUMBER(J159),ISNUMBER(J160)),CHOOSE($D$4,J158,J159,J160),"n.a.")</x:f>
        <x:v>5</x:v>
      </x:c>
      <x:c r="K157" s="32" t="n">
        <x:f>IF(CHOOSE($D$4,ISNUMBER(K158),ISNUMBER(K159),ISNUMBER(K160)),CHOOSE($D$4,K158,K159,K160),"n.a.")</x:f>
        <x:v>5</x:v>
      </x:c>
      <x:c r="L157" s="32" t="n">
        <x:f>IF(CHOOSE($D$4,ISNUMBER(L158),ISNUMBER(L159),ISNUMBER(L160)),CHOOSE($D$4,L158,L159,L160),"n.a.")</x:f>
        <x:v>5</x:v>
      </x:c>
      <x:c r="M157" s="32" t="n">
        <x:f>IF(CHOOSE($D$4,ISNUMBER(M158),ISNUMBER(M159),ISNUMBER(M160)),CHOOSE($D$4,M158,M159,M160),"n.a.")</x:f>
        <x:v>5</x:v>
      </x:c>
      <x:c r="N157" s="32" t="n">
        <x:f>IF(CHOOSE($D$4,ISNUMBER(N158),ISNUMBER(N159),ISNUMBER(N160)),CHOOSE($D$4,N158,N159,N160),"n.a.")</x:f>
        <x:v>5</x:v>
      </x:c>
      <x:c r="O157" s="32" t="n">
        <x:f>IF(CHOOSE($D$4,ISNUMBER(O158),ISNUMBER(O159),ISNUMBER(O160)),CHOOSE($D$4,O158,O159,O160),"n.a.")</x:f>
        <x:v>5</x:v>
      </x:c>
      <x:c r="P157" s="32" t="n">
        <x:f>IF(CHOOSE($D$4,ISNUMBER(P158),ISNUMBER(P159),ISNUMBER(P160)),CHOOSE($D$4,P158,P159,P160),"n.a.")</x:f>
        <x:v>5</x:v>
      </x:c>
      <x:c r="Q157" s="32" t="n">
        <x:f>IF(CHOOSE($D$4,ISNUMBER(Q158),ISNUMBER(Q159),ISNUMBER(Q160)),CHOOSE($D$4,Q158,Q159,Q160),"n.a.")</x:f>
        <x:v>5</x:v>
      </x:c>
      <x:c r="R157" s="32" t="n">
        <x:f>IF(CHOOSE($D$4,ISNUMBER(R158),ISNUMBER(R159),ISNUMBER(R160)),CHOOSE($D$4,R158,R159,R160),"n.a.")</x:f>
        <x:v>5</x:v>
      </x:c>
      <x:c r="S157" s="32" t="n">
        <x:f>IF(CHOOSE($D$4,ISNUMBER(S158),ISNUMBER(S159),ISNUMBER(S160)),CHOOSE($D$4,S158,S159,S160),"n.a.")</x:f>
        <x:v>5</x:v>
      </x:c>
    </x:row>
    <x:row r="158" ht="20" customHeight="1">
      <x:c r="A158" s="3"/>
      <x:c r="B158" s="3"/>
      <x:c r="C158" s="3" t="str">
        <x:v>Pesymistyczny</x:v>
      </x:c>
      <x:c r="D158" s="33" t="n">
        <x:v>3</x:v>
      </x:c>
      <x:c r="E158" s="33" t="n">
        <x:v>3</x:v>
      </x:c>
      <x:c r="F158" s="33" t="n">
        <x:v>3</x:v>
      </x:c>
      <x:c r="G158" s="33" t="n">
        <x:v>3</x:v>
      </x:c>
      <x:c r="H158" s="33" t="n">
        <x:v>3</x:v>
      </x:c>
      <x:c r="I158" s="33" t="n">
        <x:v>3</x:v>
      </x:c>
      <x:c r="J158" s="33" t="n">
        <x:v>3</x:v>
      </x:c>
      <x:c r="K158" s="33" t="n">
        <x:v>3</x:v>
      </x:c>
      <x:c r="L158" s="33" t="n">
        <x:v>3</x:v>
      </x:c>
      <x:c r="M158" s="33" t="n">
        <x:v>3</x:v>
      </x:c>
      <x:c r="N158" s="33" t="n">
        <x:v>3</x:v>
      </x:c>
      <x:c r="O158" s="33" t="n">
        <x:v>3</x:v>
      </x:c>
      <x:c r="P158" s="33" t="n">
        <x:v>3</x:v>
      </x:c>
      <x:c r="Q158" s="33" t="n">
        <x:v>3</x:v>
      </x:c>
      <x:c r="R158" s="33" t="n">
        <x:v>3</x:v>
      </x:c>
      <x:c r="S158" s="33" t="n">
        <x:v>3</x:v>
      </x:c>
    </x:row>
    <x:row r="159" ht="20" customHeight="1">
      <x:c r="A159" s="3"/>
      <x:c r="B159" s="3"/>
      <x:c r="C159" s="3" t="str">
        <x:v>Bazowy</x:v>
      </x:c>
      <x:c r="D159" s="33" t="n">
        <x:v>5</x:v>
      </x:c>
      <x:c r="E159" s="33" t="n">
        <x:v>5</x:v>
      </x:c>
      <x:c r="F159" s="33" t="n">
        <x:v>5</x:v>
      </x:c>
      <x:c r="G159" s="33" t="n">
        <x:v>5</x:v>
      </x:c>
      <x:c r="H159" s="33" t="n">
        <x:v>5</x:v>
      </x:c>
      <x:c r="I159" s="33" t="n">
        <x:v>5</x:v>
      </x:c>
      <x:c r="J159" s="33" t="n">
        <x:v>5</x:v>
      </x:c>
      <x:c r="K159" s="33" t="n">
        <x:v>5</x:v>
      </x:c>
      <x:c r="L159" s="33" t="n">
        <x:v>5</x:v>
      </x:c>
      <x:c r="M159" s="33" t="n">
        <x:v>5</x:v>
      </x:c>
      <x:c r="N159" s="33" t="n">
        <x:v>5</x:v>
      </x:c>
      <x:c r="O159" s="33" t="n">
        <x:v>5</x:v>
      </x:c>
      <x:c r="P159" s="33" t="n">
        <x:v>5</x:v>
      </x:c>
      <x:c r="Q159" s="33" t="n">
        <x:v>5</x:v>
      </x:c>
      <x:c r="R159" s="33" t="n">
        <x:v>5</x:v>
      </x:c>
      <x:c r="S159" s="33" t="n">
        <x:v>5</x:v>
      </x:c>
    </x:row>
    <x:row r="160" ht="20" customHeight="1">
      <x:c r="A160" s="3"/>
      <x:c r="B160" s="3"/>
      <x:c r="C160" s="3" t="str">
        <x:v>Optymistyczny</x:v>
      </x:c>
      <x:c r="D160" s="33" t="n">
        <x:v>6</x:v>
      </x:c>
      <x:c r="E160" s="33" t="n">
        <x:v>6</x:v>
      </x:c>
      <x:c r="F160" s="33" t="n">
        <x:v>6</x:v>
      </x:c>
      <x:c r="G160" s="33" t="n">
        <x:v>6</x:v>
      </x:c>
      <x:c r="H160" s="33" t="n">
        <x:v>6</x:v>
      </x:c>
      <x:c r="I160" s="33" t="n">
        <x:v>6</x:v>
      </x:c>
      <x:c r="J160" s="33" t="n">
        <x:v>6</x:v>
      </x:c>
      <x:c r="K160" s="33" t="n">
        <x:v>6</x:v>
      </x:c>
      <x:c r="L160" s="33" t="n">
        <x:v>6</x:v>
      </x:c>
      <x:c r="M160" s="33" t="n">
        <x:v>6</x:v>
      </x:c>
      <x:c r="N160" s="33" t="n">
        <x:v>6</x:v>
      </x:c>
      <x:c r="O160" s="33" t="n">
        <x:v>6</x:v>
      </x:c>
      <x:c r="P160" s="33" t="n">
        <x:v>6</x:v>
      </x:c>
      <x:c r="Q160" s="33" t="n">
        <x:v>6</x:v>
      </x:c>
      <x:c r="R160" s="33" t="n">
        <x:v>6</x:v>
      </x:c>
      <x:c r="S160" s="33" t="n">
        <x:v>6</x:v>
      </x:c>
    </x:row>
    <x:row r="161" ht="20" customHeight="1">
      <x:c r="A161" s="3"/>
      <x:c r="B161" s="3"/>
      <x:c r="C161" s="17" t="str">
        <x:v>Pozostałe inwestycje niematerialne — aktywne</x:v>
      </x:c>
      <x:c r="D161" s="32" t="n">
        <x:f>IF(CHOOSE($D$4,ISNUMBER(D162),ISNUMBER(D163),ISNUMBER(D164)),CHOOSE($D$4,D162,D163,D164),"n.a.")</x:f>
        <x:v>0</x:v>
      </x:c>
      <x:c r="E161" s="32" t="n">
        <x:f>IF(CHOOSE($D$4,ISNUMBER(E162),ISNUMBER(E163),ISNUMBER(E164)),CHOOSE($D$4,E162,E163,E164),"n.a.")</x:f>
        <x:v>5000</x:v>
      </x:c>
      <x:c r="F161" s="32" t="n">
        <x:f>IF(CHOOSE($D$4,ISNUMBER(F162),ISNUMBER(F163),ISNUMBER(F164)),CHOOSE($D$4,F162,F163,F164),"n.a.")</x:f>
        <x:v>0</x:v>
      </x:c>
      <x:c r="G161" s="32" t="n">
        <x:f>IF(CHOOSE($D$4,ISNUMBER(G162),ISNUMBER(G163),ISNUMBER(G164)),CHOOSE($D$4,G162,G163,G164),"n.a.")</x:f>
        <x:v>0</x:v>
      </x:c>
      <x:c r="H161" s="32" t="n">
        <x:f>IF(CHOOSE($D$4,ISNUMBER(H162),ISNUMBER(H163),ISNUMBER(H164)),CHOOSE($D$4,H162,H163,H164),"n.a.")</x:f>
        <x:v>0</x:v>
      </x:c>
      <x:c r="I161" s="32" t="n">
        <x:f>IF(CHOOSE($D$4,ISNUMBER(I162),ISNUMBER(I163),ISNUMBER(I164)),CHOOSE($D$4,I162,I163,I164),"n.a.")</x:f>
        <x:v>0</x:v>
      </x:c>
      <x:c r="J161" s="32" t="n">
        <x:f>IF(CHOOSE($D$4,ISNUMBER(J162),ISNUMBER(J163),ISNUMBER(J164)),CHOOSE($D$4,J162,J163,J164),"n.a.")</x:f>
        <x:v>0</x:v>
      </x:c>
      <x:c r="K161" s="32" t="n">
        <x:f>IF(CHOOSE($D$4,ISNUMBER(K162),ISNUMBER(K163),ISNUMBER(K164)),CHOOSE($D$4,K162,K163,K164),"n.a.")</x:f>
        <x:v>0</x:v>
      </x:c>
      <x:c r="L161" s="32" t="n">
        <x:f>IF(CHOOSE($D$4,ISNUMBER(L162),ISNUMBER(L163),ISNUMBER(L164)),CHOOSE($D$4,L162,L163,L164),"n.a.")</x:f>
        <x:v>0</x:v>
      </x:c>
      <x:c r="M161" s="32" t="n">
        <x:f>IF(CHOOSE($D$4,ISNUMBER(M162),ISNUMBER(M163),ISNUMBER(M164)),CHOOSE($D$4,M162,M163,M164),"n.a.")</x:f>
        <x:v>0</x:v>
      </x:c>
      <x:c r="N161" s="32" t="n">
        <x:f>IF(CHOOSE($D$4,ISNUMBER(N162),ISNUMBER(N163),ISNUMBER(N164)),CHOOSE($D$4,N162,N163,N164),"n.a.")</x:f>
        <x:v>0</x:v>
      </x:c>
      <x:c r="O161" s="32" t="n">
        <x:f>IF(CHOOSE($D$4,ISNUMBER(O162),ISNUMBER(O163),ISNUMBER(O164)),CHOOSE($D$4,O162,O163,O164),"n.a.")</x:f>
        <x:v>0</x:v>
      </x:c>
      <x:c r="P161" s="32" t="n">
        <x:f>IF(CHOOSE($D$4,ISNUMBER(P162),ISNUMBER(P163),ISNUMBER(P164)),CHOOSE($D$4,P162,P163,P164),"n.a.")</x:f>
        <x:v>0</x:v>
      </x:c>
      <x:c r="Q161" s="32" t="n">
        <x:f>IF(CHOOSE($D$4,ISNUMBER(Q162),ISNUMBER(Q163),ISNUMBER(Q164)),CHOOSE($D$4,Q162,Q163,Q164),"n.a.")</x:f>
        <x:v>0</x:v>
      </x:c>
      <x:c r="R161" s="32" t="n">
        <x:f>IF(CHOOSE($D$4,ISNUMBER(R162),ISNUMBER(R163),ISNUMBER(R164)),CHOOSE($D$4,R162,R163,R164),"n.a.")</x:f>
        <x:v>0</x:v>
      </x:c>
      <x:c r="S161" s="32" t="n">
        <x:f>IF(CHOOSE($D$4,ISNUMBER(S162),ISNUMBER(S163),ISNUMBER(S164)),CHOOSE($D$4,S162,S163,S164),"n.a.")</x:f>
        <x:v>0</x:v>
      </x:c>
    </x:row>
    <x:row r="162" ht="20" customHeight="1">
      <x:c r="A162" s="3"/>
      <x:c r="B162" s="3"/>
      <x:c r="C162" s="3" t="str">
        <x:v>Pesymistyczny</x:v>
      </x:c>
      <x:c r="D162" s="33" t="n">
        <x:v>0</x:v>
      </x:c>
      <x:c r="E162" s="33" t="n">
        <x:v>7500</x:v>
      </x:c>
      <x:c r="F162" s="33" t="n">
        <x:v>0</x:v>
      </x:c>
      <x:c r="G162" s="33" t="n">
        <x:v>0</x:v>
      </x:c>
      <x:c r="H162" s="33" t="n">
        <x:v>0</x:v>
      </x:c>
      <x:c r="I162" s="33" t="n">
        <x:v>0</x:v>
      </x:c>
      <x:c r="J162" s="33" t="n">
        <x:v>0</x:v>
      </x:c>
      <x:c r="K162" s="33" t="n">
        <x:v>0</x:v>
      </x:c>
      <x:c r="L162" s="33" t="n">
        <x:v>0</x:v>
      </x:c>
      <x:c r="M162" s="33" t="n">
        <x:v>0</x:v>
      </x:c>
      <x:c r="N162" s="33" t="n">
        <x:v>0</x:v>
      </x:c>
      <x:c r="O162" s="33" t="n">
        <x:v>0</x:v>
      </x:c>
      <x:c r="P162" s="33" t="n">
        <x:v>0</x:v>
      </x:c>
      <x:c r="Q162" s="33" t="n">
        <x:v>0</x:v>
      </x:c>
      <x:c r="R162" s="33" t="n">
        <x:v>0</x:v>
      </x:c>
      <x:c r="S162" s="33" t="n">
        <x:v>0</x:v>
      </x:c>
    </x:row>
    <x:row r="163" ht="20" customHeight="1">
      <x:c r="A163" s="3"/>
      <x:c r="B163" s="3"/>
      <x:c r="C163" s="3" t="str">
        <x:v>Bazowy</x:v>
      </x:c>
      <x:c r="D163" s="33" t="n">
        <x:v>0</x:v>
      </x:c>
      <x:c r="E163" s="33" t="n">
        <x:v>5000</x:v>
      </x:c>
      <x:c r="F163" s="33" t="n">
        <x:v>0</x:v>
      </x:c>
      <x:c r="G163" s="33" t="n">
        <x:v>0</x:v>
      </x:c>
      <x:c r="H163" s="33" t="n">
        <x:v>0</x:v>
      </x:c>
      <x:c r="I163" s="33" t="n">
        <x:v>0</x:v>
      </x:c>
      <x:c r="J163" s="33" t="n">
        <x:v>0</x:v>
      </x:c>
      <x:c r="K163" s="33" t="n">
        <x:v>0</x:v>
      </x:c>
      <x:c r="L163" s="33" t="n">
        <x:v>0</x:v>
      </x:c>
      <x:c r="M163" s="33" t="n">
        <x:v>0</x:v>
      </x:c>
      <x:c r="N163" s="33" t="n">
        <x:v>0</x:v>
      </x:c>
      <x:c r="O163" s="33" t="n">
        <x:v>0</x:v>
      </x:c>
      <x:c r="P163" s="33" t="n">
        <x:v>0</x:v>
      </x:c>
      <x:c r="Q163" s="33" t="n">
        <x:v>0</x:v>
      </x:c>
      <x:c r="R163" s="33" t="n">
        <x:v>0</x:v>
      </x:c>
      <x:c r="S163" s="33" t="n">
        <x:v>0</x:v>
      </x:c>
    </x:row>
    <x:row r="164" ht="20" customHeight="1">
      <x:c r="A164" s="3"/>
      <x:c r="B164" s="3"/>
      <x:c r="C164" s="3" t="str">
        <x:v>Optymistyczny</x:v>
      </x:c>
      <x:c r="D164" s="33" t="n">
        <x:v>0</x:v>
      </x:c>
      <x:c r="E164" s="33" t="n">
        <x:v>5000</x:v>
      </x:c>
      <x:c r="F164" s="33" t="n">
        <x:v>0</x:v>
      </x:c>
      <x:c r="G164" s="33" t="n">
        <x:v>0</x:v>
      </x:c>
      <x:c r="H164" s="33" t="n">
        <x:v>0</x:v>
      </x:c>
      <x:c r="I164" s="33" t="n">
        <x:v>0</x:v>
      </x:c>
      <x:c r="J164" s="33" t="n">
        <x:v>0</x:v>
      </x:c>
      <x:c r="K164" s="33" t="n">
        <x:v>0</x:v>
      </x:c>
      <x:c r="L164" s="33" t="n">
        <x:v>0</x:v>
      </x:c>
      <x:c r="M164" s="33" t="n">
        <x:v>0</x:v>
      </x:c>
      <x:c r="N164" s="33" t="n">
        <x:v>0</x:v>
      </x:c>
      <x:c r="O164" s="33" t="n">
        <x:v>0</x:v>
      </x:c>
      <x:c r="P164" s="33" t="n">
        <x:v>0</x:v>
      </x:c>
      <x:c r="Q164" s="33" t="n">
        <x:v>0</x:v>
      </x:c>
      <x:c r="R164" s="33" t="n">
        <x:v>0</x:v>
      </x:c>
      <x:c r="S164" s="33" t="n">
        <x:v>0</x:v>
      </x:c>
    </x:row>
    <x:row r="165" ht="20" customHeight="1">
      <x:c r="A165" s="3"/>
      <x:c r="B165" s="3"/>
      <x:c r="C165" s="17" t="str">
        <x:v>Minimalny capex grupy w okresie — aktywne</x:v>
      </x:c>
      <x:c r="D165" s="32" t="n">
        <x:f>IF(CHOOSE($D$4,ISNUMBER(D166),ISNUMBER(D167),ISNUMBER(D168)),CHOOSE($D$4,D166,D167,D168),"n.a.")</x:f>
        <x:v>37500</x:v>
      </x:c>
      <x:c r="E165" s="32" t="n">
        <x:f>IF(CHOOSE($D$4,ISNUMBER(E166),ISNUMBER(E167),ISNUMBER(E168)),CHOOSE($D$4,E166,E167,E168),"n.a.")</x:f>
        <x:v>0</x:v>
      </x:c>
      <x:c r="F165" s="32" t="n">
        <x:f>IF(CHOOSE($D$4,ISNUMBER(F166),ISNUMBER(F167),ISNUMBER(F168)),CHOOSE($D$4,F166,F167,F168),"n.a.")</x:f>
        <x:v>0</x:v>
      </x:c>
      <x:c r="G165" s="32" t="n">
        <x:f>IF(CHOOSE($D$4,ISNUMBER(G166),ISNUMBER(G167),ISNUMBER(G168)),CHOOSE($D$4,G166,G167,G168),"n.a.")</x:f>
        <x:v>0</x:v>
      </x:c>
      <x:c r="H165" s="32" t="n">
        <x:f>IF(CHOOSE($D$4,ISNUMBER(H166),ISNUMBER(H167),ISNUMBER(H168)),CHOOSE($D$4,H166,H167,H168),"n.a.")</x:f>
        <x:v>0</x:v>
      </x:c>
      <x:c r="I165" s="32" t="n">
        <x:f>IF(CHOOSE($D$4,ISNUMBER(I166),ISNUMBER(I167),ISNUMBER(I168)),CHOOSE($D$4,I166,I167,I168),"n.a.")</x:f>
        <x:v>0</x:v>
      </x:c>
      <x:c r="J165" s="32" t="n">
        <x:f>IF(CHOOSE($D$4,ISNUMBER(J166),ISNUMBER(J167),ISNUMBER(J168)),CHOOSE($D$4,J166,J167,J168),"n.a.")</x:f>
        <x:v>0</x:v>
      </x:c>
      <x:c r="K165" s="32" t="n">
        <x:f>IF(CHOOSE($D$4,ISNUMBER(K166),ISNUMBER(K167),ISNUMBER(K168)),CHOOSE($D$4,K166,K167,K168),"n.a.")</x:f>
        <x:v>0</x:v>
      </x:c>
      <x:c r="L165" s="32" t="n">
        <x:f>IF(CHOOSE($D$4,ISNUMBER(L166),ISNUMBER(L167),ISNUMBER(L168)),CHOOSE($D$4,L166,L167,L168),"n.a.")</x:f>
        <x:v>0</x:v>
      </x:c>
      <x:c r="M165" s="32" t="n">
        <x:f>IF(CHOOSE($D$4,ISNUMBER(M166),ISNUMBER(M167),ISNUMBER(M168)),CHOOSE($D$4,M166,M167,M168),"n.a.")</x:f>
        <x:v>0</x:v>
      </x:c>
      <x:c r="N165" s="32" t="n">
        <x:f>IF(CHOOSE($D$4,ISNUMBER(N166),ISNUMBER(N167),ISNUMBER(N168)),CHOOSE($D$4,N166,N167,N168),"n.a.")</x:f>
        <x:v>0</x:v>
      </x:c>
      <x:c r="O165" s="32" t="n">
        <x:f>IF(CHOOSE($D$4,ISNUMBER(O166),ISNUMBER(O167),ISNUMBER(O168)),CHOOSE($D$4,O166,O167,O168),"n.a.")</x:f>
        <x:v>0</x:v>
      </x:c>
      <x:c r="P165" s="32" t="n">
        <x:f>IF(CHOOSE($D$4,ISNUMBER(P166),ISNUMBER(P167),ISNUMBER(P168)),CHOOSE($D$4,P166,P167,P168),"n.a.")</x:f>
        <x:v>0</x:v>
      </x:c>
      <x:c r="Q165" s="32" t="n">
        <x:f>IF(CHOOSE($D$4,ISNUMBER(Q166),ISNUMBER(Q167),ISNUMBER(Q168)),CHOOSE($D$4,Q166,Q167,Q168),"n.a.")</x:f>
        <x:v>0</x:v>
      </x:c>
      <x:c r="R165" s="32" t="n">
        <x:f>IF(CHOOSE($D$4,ISNUMBER(R166),ISNUMBER(R167),ISNUMBER(R168)),CHOOSE($D$4,R166,R167,R168),"n.a.")</x:f>
        <x:v>0</x:v>
      </x:c>
      <x:c r="S165" s="32" t="n">
        <x:f>IF(CHOOSE($D$4,ISNUMBER(S166),ISNUMBER(S167),ISNUMBER(S168)),CHOOSE($D$4,S166,S167,S168),"n.a.")</x:f>
        <x:v>0</x:v>
      </x:c>
    </x:row>
    <x:row r="166" ht="20" customHeight="1">
      <x:c r="A166" s="3"/>
      <x:c r="B166" s="3"/>
      <x:c r="C166" s="3" t="str">
        <x:v>Pesymistyczny</x:v>
      </x:c>
      <x:c r="D166" s="33" t="n">
        <x:v>35000</x:v>
      </x:c>
      <x:c r="E166" s="33" t="n">
        <x:v>0</x:v>
      </x:c>
      <x:c r="F166" s="33" t="n">
        <x:v>0</x:v>
      </x:c>
      <x:c r="G166" s="33" t="n">
        <x:v>0</x:v>
      </x:c>
      <x:c r="H166" s="33" t="n">
        <x:v>0</x:v>
      </x:c>
      <x:c r="I166" s="33" t="n">
        <x:v>0</x:v>
      </x:c>
      <x:c r="J166" s="33" t="n">
        <x:v>0</x:v>
      </x:c>
      <x:c r="K166" s="33" t="n">
        <x:v>0</x:v>
      </x:c>
      <x:c r="L166" s="33" t="n">
        <x:v>0</x:v>
      </x:c>
      <x:c r="M166" s="33" t="n">
        <x:v>0</x:v>
      </x:c>
      <x:c r="N166" s="33" t="n">
        <x:v>0</x:v>
      </x:c>
      <x:c r="O166" s="33" t="n">
        <x:v>0</x:v>
      </x:c>
      <x:c r="P166" s="33" t="n">
        <x:v>0</x:v>
      </x:c>
      <x:c r="Q166" s="33" t="n">
        <x:v>0</x:v>
      </x:c>
      <x:c r="R166" s="33" t="n">
        <x:v>0</x:v>
      </x:c>
      <x:c r="S166" s="33" t="n">
        <x:v>0</x:v>
      </x:c>
    </x:row>
    <x:row r="167" ht="20" customHeight="1">
      <x:c r="A167" s="3"/>
      <x:c r="B167" s="3"/>
      <x:c r="C167" s="3" t="str">
        <x:v>Bazowy</x:v>
      </x:c>
      <x:c r="D167" s="33" t="n">
        <x:v>37500</x:v>
      </x:c>
      <x:c r="E167" s="33" t="n">
        <x:v>0</x:v>
      </x:c>
      <x:c r="F167" s="33" t="n">
        <x:v>0</x:v>
      </x:c>
      <x:c r="G167" s="33" t="n">
        <x:v>0</x:v>
      </x:c>
      <x:c r="H167" s="33" t="n">
        <x:v>0</x:v>
      </x:c>
      <x:c r="I167" s="33" t="n">
        <x:v>0</x:v>
      </x:c>
      <x:c r="J167" s="33" t="n">
        <x:v>0</x:v>
      </x:c>
      <x:c r="K167" s="33" t="n">
        <x:v>0</x:v>
      </x:c>
      <x:c r="L167" s="33" t="n">
        <x:v>0</x:v>
      </x:c>
      <x:c r="M167" s="33" t="n">
        <x:v>0</x:v>
      </x:c>
      <x:c r="N167" s="33" t="n">
        <x:v>0</x:v>
      </x:c>
      <x:c r="O167" s="33" t="n">
        <x:v>0</x:v>
      </x:c>
      <x:c r="P167" s="33" t="n">
        <x:v>0</x:v>
      </x:c>
      <x:c r="Q167" s="33" t="n">
        <x:v>0</x:v>
      </x:c>
      <x:c r="R167" s="33" t="n">
        <x:v>0</x:v>
      </x:c>
      <x:c r="S167" s="33" t="n">
        <x:v>0</x:v>
      </x:c>
    </x:row>
    <x:row r="168" ht="20" customHeight="1">
      <x:c r="A168" s="3"/>
      <x:c r="B168" s="3"/>
      <x:c r="C168" s="3" t="str">
        <x:v>Optymistyczny</x:v>
      </x:c>
      <x:c r="D168" s="33" t="n">
        <x:v>42000</x:v>
      </x:c>
      <x:c r="E168" s="33" t="n">
        <x:v>0</x:v>
      </x:c>
      <x:c r="F168" s="33" t="n">
        <x:v>0</x:v>
      </x:c>
      <x:c r="G168" s="33" t="n">
        <x:v>0</x:v>
      </x:c>
      <x:c r="H168" s="33" t="n">
        <x:v>0</x:v>
      </x:c>
      <x:c r="I168" s="33" t="n">
        <x:v>0</x:v>
      </x:c>
      <x:c r="J168" s="33" t="n">
        <x:v>0</x:v>
      </x:c>
      <x:c r="K168" s="33" t="n">
        <x:v>0</x:v>
      </x:c>
      <x:c r="L168" s="33" t="n">
        <x:v>0</x:v>
      </x:c>
      <x:c r="M168" s="33" t="n">
        <x:v>0</x:v>
      </x:c>
      <x:c r="N168" s="33" t="n">
        <x:v>0</x:v>
      </x:c>
      <x:c r="O168" s="33" t="n">
        <x:v>0</x:v>
      </x:c>
      <x:c r="P168" s="33" t="n">
        <x:v>0</x:v>
      </x:c>
      <x:c r="Q168" s="33" t="n">
        <x:v>0</x:v>
      </x:c>
      <x:c r="R168" s="33" t="n">
        <x:v>0</x:v>
      </x:c>
      <x:c r="S168" s="33" t="n">
        <x:v>0</x:v>
      </x:c>
    </x:row>
    <x:row r="169" ht="20" customHeight="1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</x:row>
    <x:row r="170" ht="20" customHeight="1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</x:row>
    <x:row r="171" ht="20" customHeight="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</x:row>
    <x:row r="172" ht="23" customHeight="1">
      <x:c r="A172" s="3"/>
      <x:c r="B172" s="3"/>
      <x:c r="C172" s="17" t="str">
        <x:v>Wspólne dane i założenia</x:v>
      </x:c>
      <x:c r="D172" s="17"/>
      <x:c r="E172" s="17"/>
      <x:c r="F172" s="17"/>
      <x:c r="G172" s="17"/>
      <x:c r="H172" s="17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</x:row>
    <x:row r="173" ht="20" customHeight="1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</x:row>
    <x:row r="174" ht="20" customHeight="1">
      <x:c r="A174" s="3"/>
      <x:c r="B174" s="3"/>
      <x:c r="C174" s="3" t="str">
        <x:v>Początkowe linie konsumenckie (mln)</x:v>
      </x:c>
      <x:c r="D174" s="38" t="n">
        <x:f>'Dane'!D60</x:f>
        <x:v>13.6</x:v>
      </x:c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</x:row>
    <x:row r="175" ht="20" customHeight="1">
      <x:c r="A175" s="3"/>
      <x:c r="B175" s="3"/>
      <x:c r="C175" s="3" t="str">
        <x:v>Początkowa moc znamionowa (GW)</x:v>
      </x:c>
      <x:c r="D175" s="38" t="n">
        <x:f>'Dane'!D62</x:f>
        <x:v>1.7</x:v>
      </x:c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</x:row>
    <x:row r="176" ht="20" customHeight="1">
      <x:c r="A176" s="3"/>
      <x:c r="B176" s="3"/>
      <x:c r="C176" s="3" t="str">
        <x:v>Początkowe NOL — założenie</x:v>
      </x:c>
      <x:c r="D176" s="33" t="n">
        <x:v>0</x:v>
      </x:c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  <x:c r="Q176" s="3"/>
      <x:c r="R176" s="3"/>
      <x:c r="S176" s="3"/>
    </x:row>
    <x:row r="177" ht="20" customHeight="1">
      <x:c r="A177" s="3"/>
      <x:c r="B177" s="3"/>
      <x:c r="C177" s="3" t="str">
        <x:v>Limit wykorzystania NOL</x:v>
      </x:c>
      <x:c r="D177" s="28" t="n">
        <x:v>0.8</x:v>
      </x:c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  <x:c r="Q177" s="3"/>
      <x:c r="R177" s="3"/>
      <x:c r="S177" s="3"/>
    </x:row>
    <x:row r="178" ht="20" customHeight="1">
      <x:c r="A178" s="3"/>
      <x:c r="B178" s="3"/>
      <x:c r="C178" s="3" t="str">
        <x:v>Rezerwa gotówki operacyjnej</x:v>
      </x:c>
      <x:c r="D178" s="33" t="n">
        <x:v>10000</x:v>
      </x:c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  <x:c r="Q178" s="3"/>
      <x:c r="R178" s="3"/>
      <x:c r="S178" s="3"/>
    </x:row>
    <x:row r="179" ht="20" customHeight="1">
      <x:c r="A179" s="3"/>
      <x:c r="B179" s="3"/>
      <x:c r="C179" s="3" t="str">
        <x:v>Początkowe AI CIP — alokacja szacunkowa</x:v>
      </x:c>
      <x:c r="D179" s="33" t="n">
        <x:v>12554</x:v>
      </x:c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  <x:c r="Q179" s="3"/>
      <x:c r="R179" s="3"/>
      <x:c r="S179" s="3"/>
    </x:row>
    <x:row r="180" ht="20" customHeight="1">
      <x:c r="A180" s="3"/>
      <x:c r="B180" s="3"/>
      <x:c r="C180" s="3" t="str">
        <x:v>CIP / przyszły capex wzrostowy</x:v>
      </x:c>
      <x:c r="D180" s="28" t="n">
        <x:v>0.25</x:v>
      </x:c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  <x:c r="Q180" s="3"/>
      <x:c r="R180" s="3"/>
      <x:c r="S180" s="3"/>
    </x:row>
    <x:row r="181" ht="20" customHeight="1">
      <x:c r="A181" s="3"/>
      <x:c r="B181" s="3"/>
      <x:c r="C181" s="3" t="str">
        <x:v>Connectivity: trwały capex / ostatni capex</x:v>
      </x:c>
      <x:c r="D181" s="28" t="n">
        <x:v>0.85</x:v>
      </x:c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  <x:c r="Q181" s="3"/>
      <x:c r="R181" s="3"/>
      <x:c r="S181" s="3"/>
    </x:row>
    <x:row r="182" ht="20" customHeight="1">
      <x:c r="A182" s="3"/>
      <x:c r="B182" s="3"/>
      <x:c r="C182" s="3" t="str">
        <x:v>Space: trwały capex / ostatni capex</x:v>
      </x:c>
      <x:c r="D182" s="28" t="n">
        <x:v>0.8</x:v>
      </x:c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  <x:c r="Q182" s="3"/>
      <x:c r="R182" s="3"/>
      <x:c r="S182" s="3"/>
    </x:row>
    <x:row r="183" ht="20" customHeight="1">
      <x:c r="A183" s="3"/>
      <x:c r="B183" s="3"/>
      <x:c r="C183" s="3" t="str">
        <x:v>Udział serwerów/GPU w AI capex</x:v>
      </x:c>
      <x:c r="D183" s="28" t="n">
        <x:v>0.8</x:v>
      </x:c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  <x:c r="Q183" s="3"/>
      <x:c r="R183" s="3"/>
      <x:c r="S183" s="3"/>
    </x:row>
    <x:row r="184" ht="20" customHeight="1">
      <x:c r="A184" s="3"/>
      <x:c r="B184" s="3"/>
      <x:c r="C184" s="3" t="str">
        <x:v>Żywotność infrastruktury AI (lata)</x:v>
      </x:c>
      <x:c r="D184" s="33" t="n">
        <x:v>20</x:v>
      </x:c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  <x:c r="Q184" s="3"/>
      <x:c r="R184" s="3"/>
      <x:c r="S184" s="3"/>
    </x:row>
    <x:row r="185" ht="20" customHeight="1">
      <x:c r="A185" s="3"/>
      <x:c r="B185" s="3"/>
      <x:c r="C185" s="3" t="str">
        <x:v>Udział satelitów w Connectivity capex</x:v>
      </x:c>
      <x:c r="D185" s="28" t="n">
        <x:v>0.8</x:v>
      </x:c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  <x:c r="Q185" s="3"/>
      <x:c r="R185" s="3"/>
      <x:c r="S185" s="3"/>
    </x:row>
    <x:row r="186" ht="20" customHeight="1">
      <x:c r="A186" s="3"/>
      <x:c r="B186" s="3"/>
      <x:c r="C186" s="3" t="str">
        <x:v>Środki pieniężne</x:v>
      </x:c>
      <x:c r="D186" s="38" t="n">
        <x:f>'Dane'!D45</x:f>
        <x:v>51294</x:v>
      </x:c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  <x:c r="Q186" s="3"/>
      <x:c r="R186" s="3"/>
      <x:c r="S186" s="3"/>
    </x:row>
    <x:row r="187" ht="20" customHeight="1">
      <x:c r="A187" s="3"/>
      <x:c r="B187" s="3"/>
      <x:c r="C187" s="3" t="str">
        <x:v>Papiery wartościowe</x:v>
      </x:c>
      <x:c r="D187" s="38" t="n">
        <x:f>'Dane'!D46</x:f>
        <x:v>38561</x:v>
      </x:c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  <x:c r="Q187" s="3"/>
      <x:c r="R187" s="3"/>
      <x:c r="S187" s="3"/>
    </x:row>
    <x:row r="188" ht="20" customHeight="1">
      <x:c r="A188" s="3"/>
      <x:c r="B188" s="3"/>
      <x:c r="C188" s="3" t="str">
        <x:v>Dług wraz z leasingiem finansowym</x:v>
      </x:c>
      <x:c r="D188" s="38" t="n">
        <x:f>SUM('Dane'!D50:D51)</x:f>
        <x:v>38844</x:v>
      </x:c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  <x:c r="Q188" s="3"/>
      <x:c r="R188" s="3"/>
      <x:c r="S188" s="3"/>
    </x:row>
    <x:row r="189" ht="20" customHeight="1">
      <x:c r="A189" s="3"/>
      <x:c r="B189" s="3"/>
      <x:c r="C189" s="3" t="str">
        <x:v>Dług krótkoterminowy</x:v>
      </x:c>
      <x:c r="D189" s="38" t="n">
        <x:f>'Dane'!D50</x:f>
        <x:v>2698</x:v>
      </x:c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  <x:c r="Q189" s="3"/>
      <x:c r="R189" s="3"/>
      <x:c r="S189" s="3"/>
    </x:row>
    <x:row r="190" ht="20" customHeight="1">
      <x:c r="A190" s="3"/>
      <x:c r="B190" s="3"/>
      <x:c r="C190" s="3" t="str">
        <x:v>Raportowane akcje ogółem (mln)</x:v>
      </x:c>
      <x:c r="D190" s="38" t="n">
        <x:f>'Dane'!D54</x:f>
        <x:v>13579</x:v>
      </x:c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  <x:c r="Q190" s="3"/>
      <x:c r="R190" s="3"/>
      <x:c r="S190" s="3"/>
    </x:row>
    <x:row r="191" ht="20" customHeight="1">
      <x:c r="A191" s="3"/>
      <x:c r="B191" s="3"/>
      <x:c r="C191" s="3" t="str">
        <x:v>Kurs odniesienia 20.10.2026 (USD)</x:v>
      </x:c>
      <x:c r="D191" s="33" t="n">
        <x:v>147.79</x:v>
      </x:c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  <x:c r="Q191" s="3"/>
      <x:c r="R191" s="3"/>
      <x:c r="S191" s="3"/>
    </x:row>
    <x:row r="192" ht="20" customHeight="1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  <x:c r="Q192" s="3"/>
      <x:c r="R192" s="3"/>
      <x:c r="S192" s="3"/>
    </x:row>
    <x:row r="193" ht="20" customHeight="1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  <x:c r="Q193" s="3"/>
      <x:c r="R193" s="3"/>
      <x:c r="S193" s="3"/>
    </x:row>
    <x:row r="194" ht="23" customHeight="1">
      <x:c r="A194" s="3"/>
      <x:c r="B194" s="3"/>
      <x:c r="C194" s="17" t="str">
        <x:v>Żywotność nowych aktywów (lata)</x:v>
      </x:c>
      <x:c r="D194" s="17"/>
      <x:c r="E194" s="17"/>
      <x:c r="F194" s="17"/>
      <x:c r="G194" s="17"/>
      <x:c r="H194" s="17"/>
      <x:c r="I194" s="3"/>
      <x:c r="J194" s="3"/>
      <x:c r="K194" s="3"/>
      <x:c r="L194" s="3"/>
      <x:c r="M194" s="3"/>
      <x:c r="N194" s="3"/>
      <x:c r="O194" s="3"/>
      <x:c r="P194" s="3"/>
      <x:c r="Q194" s="3"/>
      <x:c r="R194" s="3"/>
      <x:c r="S194" s="3"/>
    </x:row>
    <x:row r="195" ht="20" customHeight="1">
      <x:c r="A195" s="3"/>
      <x:c r="B195" s="3"/>
      <x:c r="C195" s="3" t="str">
        <x:v>Space</x:v>
      </x:c>
      <x:c r="D195" s="26" t="n">
        <x:v>10</x:v>
      </x:c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  <x:c r="Q195" s="3"/>
      <x:c r="R195" s="3"/>
      <x:c r="S195" s="3"/>
    </x:row>
    <x:row r="196" ht="20" customHeight="1">
      <x:c r="A196" s="3"/>
      <x:c r="B196" s="3"/>
      <x:c r="C196" s="3" t="str">
        <x:v>Connectivity: satelity</x:v>
      </x:c>
      <x:c r="D196" s="26" t="n">
        <x:v>4</x:v>
      </x:c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  <x:c r="Q196" s="3"/>
      <x:c r="R196" s="3"/>
      <x:c r="S196" s="3"/>
    </x:row>
    <x:row r="197" ht="20" customHeight="1">
      <x:c r="A197" s="3"/>
      <x:c r="B197" s="3"/>
      <x:c r="C197" s="3" t="str">
        <x:v>Connectivity: infrastruktura</x:v>
      </x:c>
      <x:c r="D197" s="26" t="n">
        <x:v>10</x:v>
      </x:c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  <x:c r="Q197" s="3"/>
      <x:c r="R197" s="3"/>
      <x:c r="S197" s="3"/>
    </x:row>
    <x:row r="198" ht="20" customHeight="1">
      <x:c r="A198" s="3"/>
      <x:c r="B198" s="3"/>
      <x:c r="C198" s="3" t="str">
        <x:v>SI: infrastruktura centrów danych</x:v>
      </x:c>
      <x:c r="D198" s="26" t="n">
        <x:v>20</x:v>
      </x:c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  <x:c r="Q198" s="3"/>
      <x:c r="R198" s="3"/>
      <x:c r="S198" s="3"/>
    </x:row>
    <x:row r="199" ht="20" customHeight="1">
      <x:c r="A199" s="3"/>
      <x:c r="B199" s="3"/>
      <x:c r="C199" s="3" t="str">
        <x:v>Aktywa niematerialne</x:v>
      </x:c>
      <x:c r="D199" s="26" t="n">
        <x:v>15</x:v>
      </x:c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  <x:c r="Q199" s="3"/>
      <x:c r="R199" s="3"/>
      <x:c r="S199" s="3"/>
    </x:row>
    <x:row r="200" ht="20" customHeight="1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  <x:c r="Q200" s="3"/>
      <x:c r="R200" s="3"/>
      <x:c r="S200" s="3"/>
    </x:row>
    <x:row r="201" ht="20" customHeight="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  <x:c r="Q201" s="3"/>
      <x:c r="R201" s="3"/>
      <x:c r="S201" s="3"/>
    </x:row>
    <x:row r="202" ht="23" customHeight="1">
      <x:c r="A202" s="3"/>
      <x:c r="B202" s="3"/>
      <x:c r="C202" s="17" t="str">
        <x:v>Początkowe aktywa oddane do użycia — alokacje szacunkowe</x:v>
      </x:c>
      <x:c r="D202" s="17"/>
      <x:c r="E202" s="17"/>
      <x:c r="F202" s="17"/>
      <x:c r="G202" s="17"/>
      <x:c r="H202" s="17"/>
      <x:c r="I202" s="3"/>
      <x:c r="J202" s="3"/>
      <x:c r="K202" s="3"/>
      <x:c r="L202" s="3"/>
      <x:c r="M202" s="3"/>
      <x:c r="N202" s="3"/>
      <x:c r="O202" s="3"/>
      <x:c r="P202" s="3"/>
      <x:c r="Q202" s="3"/>
      <x:c r="R202" s="3"/>
      <x:c r="S202" s="3"/>
    </x:row>
    <x:row r="203" ht="20" customHeight="1">
      <x:c r="A203" s="3"/>
      <x:c r="B203" s="3"/>
      <x:c r="C203" s="3"/>
      <x:c r="D203" s="3" t="str">
        <x:v>Wartość netto</x:v>
      </x:c>
      <x:c r="E203" s="3" t="str">
        <x:v>Pozostałe lata</x:v>
      </x:c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  <x:c r="Q203" s="3"/>
      <x:c r="R203" s="3"/>
      <x:c r="S203" s="3"/>
    </x:row>
    <x:row r="204" ht="20" customHeight="1">
      <x:c r="A204" s="3"/>
      <x:c r="B204" s="3"/>
      <x:c r="C204" s="3" t="str">
        <x:v>Space</x:v>
      </x:c>
      <x:c r="D204" s="33" t="n">
        <x:v>9000</x:v>
      </x:c>
      <x:c r="E204" s="33" t="n">
        <x:v>7</x:v>
      </x:c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  <x:c r="Q204" s="3"/>
      <x:c r="R204" s="3"/>
      <x:c r="S204" s="3"/>
    </x:row>
    <x:row r="205" ht="20" customHeight="1">
      <x:c r="A205" s="3"/>
      <x:c r="B205" s="3"/>
      <x:c r="C205" s="3" t="str">
        <x:v>Connectivity: satelity</x:v>
      </x:c>
      <x:c r="D205" s="33" t="n">
        <x:v>12000</x:v>
      </x:c>
      <x:c r="E205" s="33" t="n">
        <x:v>2.5</x:v>
      </x:c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  <x:c r="Q205" s="3"/>
      <x:c r="R205" s="3"/>
      <x:c r="S205" s="3"/>
    </x:row>
    <x:row r="206" ht="20" customHeight="1">
      <x:c r="A206" s="3"/>
      <x:c r="B206" s="3"/>
      <x:c r="C206" s="3" t="str">
        <x:v>Connectivity: infrastruktura</x:v>
      </x:c>
      <x:c r="D206" s="33" t="n">
        <x:v>3000</x:v>
      </x:c>
      <x:c r="E206" s="33" t="n">
        <x:v>7</x:v>
      </x:c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  <x:c r="Q206" s="3"/>
      <x:c r="R206" s="3"/>
      <x:c r="S206" s="3"/>
    </x:row>
    <x:row r="207" ht="20" customHeight="1">
      <x:c r="A207" s="3"/>
      <x:c r="B207" s="3"/>
      <x:c r="C207" s="3" t="str">
        <x:v>SI: serwery i GPU</x:v>
      </x:c>
      <x:c r="D207" s="33" t="n">
        <x:v>43175.2</x:v>
      </x:c>
      <x:c r="E207" s="33" t="n">
        <x:v>3</x:v>
      </x:c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  <x:c r="Q207" s="3"/>
      <x:c r="R207" s="3"/>
      <x:c r="S207" s="3"/>
    </x:row>
    <x:row r="208" ht="20" customHeight="1">
      <x:c r="A208" s="3"/>
      <x:c r="B208" s="3"/>
      <x:c r="C208" s="3" t="str">
        <x:v>SI: infrastruktura centrów danych</x:v>
      </x:c>
      <x:c r="D208" s="33" t="n">
        <x:v>10793.8</x:v>
      </x:c>
      <x:c r="E208" s="33" t="n">
        <x:v>18</x:v>
      </x:c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  <x:c r="Q208" s="3"/>
      <x:c r="R208" s="3"/>
      <x:c r="S208" s="3"/>
    </x:row>
    <x:row r="209" ht="20" customHeight="1">
      <x:c r="A209" s="3"/>
      <x:c r="B209" s="3"/>
      <x:c r="C209" s="3" t="str">
        <x:v>Aktywa niematerialne</x:v>
      </x:c>
      <x:c r="D209" s="33" t="n">
        <x:v>6354</x:v>
      </x:c>
      <x:c r="E209" s="33" t="n">
        <x:v>5</x:v>
      </x:c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  <x:c r="Q209" s="3"/>
      <x:c r="R209" s="3"/>
      <x:c r="S209" s="3"/>
    </x:row>
    <x:row r="210" ht="20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  <x:c r="R210" s="3"/>
      <x:c r="S210" s="3"/>
    </x:row>
    <x:row r="211" ht="20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  <x:c r="R211" s="3"/>
      <x:c r="S211" s="3"/>
    </x:row>
    <x:row r="212" ht="23" customHeight="1">
      <x:c r="A212" s="3"/>
      <x:c r="B212" s="3"/>
      <x:c r="C212" s="17" t="str">
        <x:v>Sposób korzystania i istotne założenia</x:v>
      </x:c>
      <x:c r="D212" s="17"/>
      <x:c r="E212" s="17"/>
      <x:c r="F212" s="17"/>
      <x:c r="G212" s="17"/>
      <x:c r="H212" s="17"/>
      <x:c r="I212" s="17"/>
      <x:c r="J212" s="17"/>
      <x:c r="K212" s="17"/>
      <x:c r="L212" s="17"/>
      <x:c r="M212" s="3"/>
      <x:c r="N212" s="3"/>
      <x:c r="O212" s="3"/>
      <x:c r="P212" s="3"/>
      <x:c r="Q212" s="3"/>
      <x:c r="R212" s="3"/>
      <x:c r="S212" s="3"/>
    </x:row>
    <x:row r="213" ht="20" customHeight="1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  <x:c r="Q213" s="3"/>
      <x:c r="R213" s="3"/>
      <x:c r="S213" s="3"/>
    </x:row>
    <x:row r="214" ht="20" customHeight="1">
      <x:c r="A214" s="3"/>
      <x:c r="B214" s="3"/>
      <x:c r="C214" s="18" t="str">
        <x:v>1 = Pesymistyczny, 2 = Bazowy, 3 = Optymistyczny. Żółte pola są edytowalne. Formuły przeliczają jeden aktywny scenariusz. n.a. oznacza brak liczby w wybranym założeniu.</x:v>
      </x:c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  <x:c r="Q214" s="3"/>
      <x:c r="R214" s="3"/>
      <x:c r="S214" s="3"/>
    </x:row>
    <x:row r="215" ht="20" customHeight="1">
      <x:c r="A215" s="3"/>
      <x:c r="B215" s="3"/>
      <x:c r="C215" s="18" t="str">
        <x:v>SBC pozostaje kosztem. Stres rozwodnienia o 10% i 20% jest oddzielnym testem dodatkowych roszczeń, nie prognozą emisji za SBC.</x:v>
      </x:c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  <x:c r="Q215" s="3"/>
      <x:c r="R215" s="3"/>
      <x:c r="S215" s="3"/>
    </x:row>
    <x:row r="216" ht="20" customHeight="1">
      <x:c r="A216" s="3"/>
      <x:c r="B216" s="3"/>
      <x:c r="C216" s="18" t="str">
        <x:v>CIP 12 554 mln USD to analityczna alokacja czerwcowego CIP grupy do AI we wrześniu. Nie jest ujawnionym saldem segmentu.</x:v>
      </x:c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  <x:c r="Q216" s="3"/>
      <x:c r="R216" s="3"/>
      <x:c r="S216" s="3"/>
    </x:row>
    <x:row r="217" ht="20" customHeight="1">
      <x:c r="A217" s="3"/>
      <x:c r="B217" s="3"/>
      <x:c r="C217" s="18" t="str">
        <x:v>Capex obejmuje ekonomiczną wartość inwestycji, również finansowanych leasingiem. Dług i leasing odejmowane są raz w mostku EV–equity.</x:v>
      </x:c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  <x:c r="Q217" s="3"/>
      <x:c r="R217" s="3"/>
      <x:c r="S217" s="3"/>
    </x:row>
    <x:row r="218" ht="20" customHeight="1">
      <x:c r="A218" s="3"/>
      <x:c r="B218" s="3"/>
      <x:c r="C218" s="18" t="str">
        <x:v>Długoterminowe marże, moce AI, wykorzystanie, ceny i podział segmentów to założenia WMA, nie prognozy spółki.</x:v>
      </x:c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  <x:c r="Q218" s="3"/>
      <x:c r="R218" s="3"/>
      <x:c r="S218" s="3"/>
    </x:row>
    <x:row r="219" ht="20" customHeight="1">
      <x:c r="A219" s="3"/>
      <x:c r="B219" s="3"/>
      <x:c r="C219" s="18" t="str">
        <x:v>Nie zakłada się początkowych użytecznych NOL. Powstające straty są rozliczane grupowo z ilustracyjnym limitem 80%.</x:v>
      </x:c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  <x:c r="Q219" s="3"/>
      <x:c r="R219" s="3"/>
      <x:c r="S219" s="3"/>
    </x:row>
    <x:row r="220" ht="20" customHeight="1">
      <x:c r="A220" s="3"/>
      <x:c r="B220" s="3"/>
      <x:c r="C220" s="18" t="str">
        <x:v>Nie dolicza się wartości Marsa, połączenia z Teslą ani orbitalnych centrów danych. Zestawy i Enterprise nie powielają usług Mobile.</x:v>
      </x:c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  <x:c r="Q220" s="3"/>
      <x:c r="R220" s="3"/>
      <x:c r="S220" s="3"/>
    </x:row>
    <x:row r="221" ht="20" customHeight="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  <x:c r="Q221" s="3"/>
      <x:c r="R221" s="3"/>
      <x:c r="S221" s="3"/>
    </x:row>
    <x:row r="222" ht="20" customHeight="1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  <x:c r="Q222" s="3"/>
      <x:c r="R222" s="3"/>
      <x:c r="S222" s="3"/>
    </x:row>
    <x:row r="223" ht="20" customHeight="1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  <x:c r="Q223" s="3"/>
      <x:c r="R223" s="3"/>
      <x:c r="S223" s="3"/>
    </x:row>
    <x:row r="224" ht="20" customHeight="1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  <x:c r="Q224" s="3"/>
      <x:c r="R224" s="3"/>
      <x:c r="S224" s="3"/>
    </x:row>
    <x:row r="225" ht="20" customHeight="1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  <x:c r="Q225" s="3"/>
      <x:c r="R225" s="3"/>
      <x:c r="S225" s="3"/>
    </x:row>
    <x:row r="226" ht="20" customHeight="1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  <x:c r="Q226" s="3"/>
      <x:c r="R226" s="3"/>
      <x:c r="S226" s="3"/>
    </x:row>
    <x:row r="227" ht="20" customHeight="1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  <x:c r="Q227" s="3"/>
      <x:c r="R227" s="3"/>
      <x:c r="S227" s="3"/>
    </x:row>
    <x:row r="228" ht="20" customHeight="1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  <x:c r="Q228" s="3"/>
      <x:c r="R228" s="3"/>
      <x:c r="S228" s="3"/>
    </x:row>
    <x:row r="229" ht="20" customHeight="1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  <x:c r="Q229" s="3"/>
      <x:c r="R229" s="3"/>
      <x:c r="S229" s="3"/>
    </x:row>
    <x:row r="230" ht="20" customHeight="1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  <x:c r="Q230" s="3"/>
      <x:c r="R230" s="3"/>
      <x:c r="S230" s="3"/>
    </x:row>
    <x:row r="231" ht="20" customHeight="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  <x:c r="Q231" s="3"/>
      <x:c r="R231" s="3"/>
      <x:c r="S231" s="3"/>
    </x:row>
    <x:row r="232" ht="20" customHeight="1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  <x:c r="Q232" s="3"/>
      <x:c r="R232" s="3"/>
      <x:c r="S232" s="3"/>
    </x:row>
    <x:row r="233" ht="20" customHeight="1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  <x:c r="Q233" s="3"/>
      <x:c r="R233" s="3"/>
      <x:c r="S233" s="3"/>
    </x:row>
    <x:row r="234" ht="20" customHeight="1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  <x:c r="Q234" s="3"/>
      <x:c r="R234" s="3"/>
      <x:c r="S234" s="3"/>
    </x:row>
    <x:row r="235" ht="20" customHeight="1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  <x:c r="Q235" s="3"/>
      <x:c r="R235" s="3"/>
      <x:c r="S235" s="3"/>
    </x:row>
    <x:row r="236" ht="20" customHeight="1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  <x:c r="Q236" s="3"/>
      <x:c r="R236" s="3"/>
      <x:c r="S236" s="3"/>
    </x:row>
    <x:row r="237" ht="20" customHeight="1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  <x:c r="Q237" s="3"/>
      <x:c r="R237" s="3"/>
      <x:c r="S237" s="3"/>
    </x:row>
    <x:row r="238" ht="20" customHeight="1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  <x:c r="Q238" s="3"/>
      <x:c r="R238" s="3"/>
      <x:c r="S238" s="3"/>
    </x:row>
    <x:row r="239" ht="20" customHeight="1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  <x:c r="Q239" s="3"/>
      <x:c r="R239" s="3"/>
      <x:c r="S239" s="3"/>
    </x:row>
    <x:row r="240" ht="20" customHeight="1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  <x:c r="Q240" s="3"/>
      <x:c r="R240" s="3"/>
      <x:c r="S240" s="3"/>
    </x:row>
    <x:row r="241" ht="20" customHeight="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  <x:c r="Q241" s="3"/>
      <x:c r="R241" s="3"/>
      <x:c r="S241" s="3"/>
    </x:row>
    <x:row r="242" ht="20" customHeight="1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  <x:c r="Q242" s="3"/>
      <x:c r="R242" s="3"/>
      <x:c r="S242" s="3"/>
    </x:row>
    <x:row r="243" ht="20" customHeight="1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  <x:c r="Q243" s="3"/>
      <x:c r="R243" s="3"/>
      <x:c r="S243" s="3"/>
    </x:row>
    <x:row r="244" ht="20" customHeight="1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  <x:c r="Q244" s="3"/>
      <x:c r="R244" s="3"/>
      <x:c r="S244" s="3"/>
    </x:row>
    <x:row r="245" ht="20" customHeight="1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  <x:c r="Q245" s="3"/>
      <x:c r="R245" s="3"/>
      <x:c r="S245" s="3"/>
    </x:row>
    <x:row r="246" ht="20" customHeight="1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  <x:c r="Q246" s="3"/>
      <x:c r="R246" s="3"/>
      <x:c r="S246" s="3"/>
    </x:row>
    <x:row r="247" ht="20" customHeight="1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  <x:c r="Q247" s="3"/>
      <x:c r="R247" s="3"/>
      <x:c r="S247" s="3"/>
    </x:row>
    <x:row r="248" ht="20" customHeight="1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  <x:c r="Q248" s="3"/>
      <x:c r="R248" s="3"/>
      <x:c r="S248" s="3"/>
    </x:row>
    <x:row r="249" ht="20" customHeight="1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  <x:c r="Q249" s="3"/>
      <x:c r="R249" s="3"/>
      <x:c r="S249" s="3"/>
    </x:row>
    <x:row r="250" ht="20" customHeight="1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  <x:c r="Q250" s="3"/>
      <x:c r="R250" s="3"/>
      <x:c r="S250" s="3"/>
    </x:row>
    <x:row r="251" ht="20" customHeight="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  <x:c r="Q251" s="3"/>
      <x:c r="R251" s="3"/>
      <x:c r="S251" s="3"/>
    </x:row>
    <x:row r="252" ht="20" customHeight="1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  <x:c r="Q252" s="3"/>
      <x:c r="R252" s="3"/>
      <x:c r="S252" s="3"/>
    </x:row>
    <x:row r="253" ht="20" customHeight="1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  <x:c r="Q253" s="3"/>
      <x:c r="R253" s="3"/>
      <x:c r="S253" s="3"/>
    </x:row>
    <x:row r="254" ht="20" customHeight="1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  <x:c r="Q254" s="3"/>
      <x:c r="R254" s="3"/>
      <x:c r="S254" s="3"/>
    </x:row>
    <x:row r="255" ht="20" customHeight="1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  <x:c r="Q255" s="3"/>
      <x:c r="R255" s="3"/>
      <x:c r="S255" s="3"/>
    </x:row>
    <x:row r="256" ht="20" customHeight="1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  <x:c r="Q256" s="3"/>
      <x:c r="R256" s="3"/>
      <x:c r="S256" s="3"/>
    </x:row>
    <x:row r="257" ht="20" customHeight="1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  <x:c r="Q257" s="3"/>
      <x:c r="R257" s="3"/>
      <x:c r="S257" s="3"/>
    </x:row>
    <x:row r="258" ht="20" customHeight="1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  <x:c r="Q258" s="3"/>
      <x:c r="R258" s="3"/>
      <x:c r="S258" s="3"/>
    </x:row>
    <x:row r="259" ht="20" customHeight="1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  <x:c r="Q259" s="3"/>
      <x:c r="R259" s="3"/>
      <x:c r="S259" s="3"/>
    </x:row>
    <x:row r="260" ht="20" customHeight="1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  <x:c r="Q260" s="3"/>
      <x:c r="R260" s="3"/>
      <x:c r="S260" s="3"/>
    </x:row>
  </x:sheetData>
  <x:dataValidations count="1">
    <x:dataValidation type="whole" operator="between" sqref="D4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prognoza operacyjna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Connectivity</x:v>
      </x:c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</x:row>
    <x:row r="9" ht="20" customHeight="1">
      <x:c r="A9" s="3"/>
      <x:c r="B9" s="3"/>
      <x:c r="C9" s="3" t="str">
        <x:v>Linie na początek (mln)</x:v>
      </x:c>
      <x:c r="D9" s="38" t="n">
        <x:f>'Założenia'!$D$174</x:f>
        <x:v>13.6</x:v>
      </x:c>
      <x:c r="E9" s="40" t="n">
        <x:f>D10</x:f>
        <x:v>15.5</x:v>
      </x:c>
      <x:c r="F9" s="40" t="n">
        <x:f>E10</x:f>
        <x:v>19.000533036323365</x:v>
      </x:c>
      <x:c r="G9" s="40" t="n">
        <x:f>F10</x:f>
        <x:v>23.29162939770423</x:v>
      </x:c>
      <x:c r="H9" s="40" t="n">
        <x:f>G10</x:f>
        <x:v>28.551830570379337</x:v>
      </x:c>
      <x:c r="I9" s="40" t="n">
        <x:f>H10</x:f>
        <x:v>35</x:v>
      </x:c>
      <x:c r="J9" s="40" t="n">
        <x:f>I10</x:f>
        <x:v>38.983846251100765</x:v>
      </x:c>
      <x:c r="K9" s="40" t="n">
        <x:f>J10</x:f>
        <x:v>43.42115052941323</x:v>
      </x:c>
      <x:c r="L9" s="40" t="n">
        <x:f>K10</x:f>
        <x:v>48.363527322415656</x:v>
      </x:c>
      <x:c r="M9" s="40" t="n">
        <x:f>L10</x:f>
        <x:v>53.868466094227514</x:v>
      </x:c>
      <x:c r="N9" s="40" t="n">
        <x:f>M10</x:f>
        <x:v>60</x:v>
      </x:c>
      <x:c r="O9" s="40" t="n">
        <x:f>N10</x:f>
        <x:v>62.94690380529889</x:v>
      </x:c>
      <x:c r="P9" s="40" t="n">
        <x:f>O10</x:f>
        <x:v>66.03854497789254</x:v>
      </x:c>
      <x:c r="Q9" s="40" t="n">
        <x:f>P10</x:f>
        <x:v>69.28203230275508</x:v>
      </x:c>
      <x:c r="R9" s="40" t="n">
        <x:f>Q10</x:f>
        <x:v>72.68482371328558</x:v>
      </x:c>
      <x:c r="S9" s="40" t="n">
        <x:f>R10</x:f>
        <x:v>76.25474343975493</x:v>
      </x:c>
    </x:row>
    <x:row r="10" ht="20" customHeight="1">
      <x:c r="A10" s="3"/>
      <x:c r="B10" s="3"/>
      <x:c r="C10" s="3" t="str">
        <x:v>Linie na koniec (mln)</x:v>
      </x:c>
      <x:c r="D10" s="38" t="n">
        <x:f>'Założenia'!D53</x:f>
        <x:v>15.5</x:v>
      </x:c>
      <x:c r="E10" s="38" t="n">
        <x:f>'Założenia'!E53</x:f>
        <x:v>19.000533036323365</x:v>
      </x:c>
      <x:c r="F10" s="38" t="n">
        <x:f>'Założenia'!F53</x:f>
        <x:v>23.29162939770423</x:v>
      </x:c>
      <x:c r="G10" s="38" t="n">
        <x:f>'Założenia'!G53</x:f>
        <x:v>28.551830570379337</x:v>
      </x:c>
      <x:c r="H10" s="38" t="n">
        <x:f>'Założenia'!H53</x:f>
        <x:v>35</x:v>
      </x:c>
      <x:c r="I10" s="38" t="n">
        <x:f>'Założenia'!I53</x:f>
        <x:v>38.983846251100765</x:v>
      </x:c>
      <x:c r="J10" s="38" t="n">
        <x:f>'Założenia'!J53</x:f>
        <x:v>43.42115052941323</x:v>
      </x:c>
      <x:c r="K10" s="38" t="n">
        <x:f>'Założenia'!K53</x:f>
        <x:v>48.363527322415656</x:v>
      </x:c>
      <x:c r="L10" s="38" t="n">
        <x:f>'Założenia'!L53</x:f>
        <x:v>53.868466094227514</x:v>
      </x:c>
      <x:c r="M10" s="38" t="n">
        <x:f>'Założenia'!M53</x:f>
        <x:v>60</x:v>
      </x:c>
      <x:c r="N10" s="38" t="n">
        <x:f>'Założenia'!N53</x:f>
        <x:v>62.94690380529889</x:v>
      </x:c>
      <x:c r="O10" s="38" t="n">
        <x:f>'Założenia'!O53</x:f>
        <x:v>66.03854497789254</x:v>
      </x:c>
      <x:c r="P10" s="38" t="n">
        <x:f>'Założenia'!P53</x:f>
        <x:v>69.28203230275508</x:v>
      </x:c>
      <x:c r="Q10" s="38" t="n">
        <x:f>'Założenia'!Q53</x:f>
        <x:v>72.68482371328558</x:v>
      </x:c>
      <x:c r="R10" s="38" t="n">
        <x:f>'Założenia'!R53</x:f>
        <x:v>76.25474343975493</x:v>
      </x:c>
      <x:c r="S10" s="38" t="n">
        <x:f>'Założenia'!S53</x:f>
        <x:v>80</x:v>
      </x:c>
    </x:row>
    <x:row r="11" ht="20" customHeight="1">
      <x:c r="A11" s="3"/>
      <x:c r="B11" s="3"/>
      <x:c r="C11" s="3" t="str">
        <x:v>Średnia liczba linii (mln)</x:v>
      </x:c>
      <x:c r="D11" s="40" t="n">
        <x:f>AVERAGE(D9:D10)</x:f>
        <x:v>14.55</x:v>
      </x:c>
      <x:c r="E11" s="40" t="n">
        <x:f>AVERAGE(E9:E10)</x:f>
        <x:v>17.25026651816168</x:v>
      </x:c>
      <x:c r="F11" s="40" t="n">
        <x:f>AVERAGE(F9:F10)</x:f>
        <x:v>21.146081217013798</x:v>
      </x:c>
      <x:c r="G11" s="40" t="n">
        <x:f>AVERAGE(G9:G10)</x:f>
        <x:v>25.921729984041782</x:v>
      </x:c>
      <x:c r="H11" s="40" t="n">
        <x:f>AVERAGE(H9:H10)</x:f>
        <x:v>31.77591528518967</x:v>
      </x:c>
      <x:c r="I11" s="40" t="n">
        <x:f>AVERAGE(I9:I10)</x:f>
        <x:v>36.991923125550386</x:v>
      </x:c>
      <x:c r="J11" s="40" t="n">
        <x:f>AVERAGE(J9:J10)</x:f>
        <x:v>41.202498390257</x:v>
      </x:c>
      <x:c r="K11" s="40" t="n">
        <x:f>AVERAGE(K9:K10)</x:f>
        <x:v>45.892338925914444</x:v>
      </x:c>
      <x:c r="L11" s="40" t="n">
        <x:f>AVERAGE(L9:L10)</x:f>
        <x:v>51.11599670832159</x:v>
      </x:c>
      <x:c r="M11" s="40" t="n">
        <x:f>AVERAGE(M9:M10)</x:f>
        <x:v>56.93423304711376</x:v>
      </x:c>
      <x:c r="N11" s="40" t="n">
        <x:f>AVERAGE(N9:N10)</x:f>
        <x:v>61.473451902649444</x:v>
      </x:c>
      <x:c r="O11" s="40" t="n">
        <x:f>AVERAGE(O9:O10)</x:f>
        <x:v>64.49272439159571</x:v>
      </x:c>
      <x:c r="P11" s="40" t="n">
        <x:f>AVERAGE(P9:P10)</x:f>
        <x:v>67.66028864032381</x:v>
      </x:c>
      <x:c r="Q11" s="40" t="n">
        <x:f>AVERAGE(Q9:Q10)</x:f>
        <x:v>70.98342800802033</x:v>
      </x:c>
      <x:c r="R11" s="40" t="n">
        <x:f>AVERAGE(R9:R10)</x:f>
        <x:v>74.46978357652026</x:v>
      </x:c>
      <x:c r="S11" s="40" t="n">
        <x:f>AVERAGE(S9:S10)</x:f>
        <x:v>78.12737171987746</x:v>
      </x:c>
    </x:row>
    <x:row r="12" ht="20" customHeight="1">
      <x:c r="A12" s="3"/>
      <x:c r="B12" s="3"/>
      <x:c r="C12" s="3" t="str">
        <x:v>ARPU miesięczny (USD)</x:v>
      </x:c>
      <x:c r="D12" s="38" t="n">
        <x:f>'Założenia'!D57</x:f>
        <x:v>68</x:v>
      </x:c>
      <x:c r="E12" s="38" t="n">
        <x:f>'Założenia'!E57</x:f>
        <x:v>66.97715222874152</x:v>
      </x:c>
      <x:c r="F12" s="38" t="n">
        <x:f>'Założenia'!F57</x:f>
        <x:v>65.96969000988257</x:v>
      </x:c>
      <x:c r="G12" s="38" t="n">
        <x:f>'Założenia'!G57</x:f>
        <x:v>64.97738191580578</x:v>
      </x:c>
      <x:c r="H12" s="38" t="n">
        <x:f>'Założenia'!H57</x:f>
        <x:v>64</x:v>
      </x:c>
      <x:c r="I12" s="38" t="n">
        <x:f>'Założenia'!I57</x:f>
        <x:v>63.59490414926265</x:v>
      </x:c>
      <x:c r="J12" s="38" t="n">
        <x:f>'Założenia'!J57</x:f>
        <x:v>63.19237240240476</x:v>
      </x:c>
      <x:c r="K12" s="38" t="n">
        <x:f>'Założenia'!K57</x:f>
        <x:v>62.79238852961627</x:v>
      </x:c>
      <x:c r="L12" s="38" t="n">
        <x:f>'Założenia'!L57</x:f>
        <x:v>62.39493640381572</x:v>
      </x:c>
      <x:c r="M12" s="38" t="n">
        <x:f>'Założenia'!M57</x:f>
        <x:v>62</x:v>
      </x:c>
      <x:c r="N12" s="38" t="n">
        <x:f>'Założenia'!N57</x:f>
        <x:v>61.662095989532226</x:v>
      </x:c>
      <x:c r="O12" s="38" t="n">
        <x:f>'Założenia'!O57</x:f>
        <x:v>61.3260335777788</x:v>
      </x:c>
      <x:c r="P12" s="38" t="n">
        <x:f>'Założenia'!P57</x:f>
        <x:v>60.991802727907626</x:v>
      </x:c>
      <x:c r="Q12" s="38" t="n">
        <x:f>'Założenia'!Q57</x:f>
        <x:v>60.65939345778796</x:v>
      </x:c>
      <x:c r="R12" s="38" t="n">
        <x:f>'Założenia'!R57</x:f>
        <x:v>60.328795839692326</x:v>
      </x:c>
      <x:c r="S12" s="38" t="n">
        <x:f>'Założenia'!S57</x:f>
        <x:v>60</x:v>
      </x:c>
    </x:row>
    <x:row r="13" ht="20" customHeight="1">
      <x:c r="A13" s="3"/>
      <x:c r="B13" s="3"/>
      <x:c r="C13" s="3" t="str">
        <x:v>Liczba miesięcy</x:v>
      </x:c>
      <x:c r="D13" s="40" t="n">
        <x:f>D$5*12</x:f>
        <x:v>3</x:v>
      </x:c>
      <x:c r="E13" s="40" t="n">
        <x:f>E$5*12</x:f>
        <x:v>12</x:v>
      </x:c>
      <x:c r="F13" s="40" t="n">
        <x:f>F$5*12</x:f>
        <x:v>12</x:v>
      </x:c>
      <x:c r="G13" s="40" t="n">
        <x:f>G$5*12</x:f>
        <x:v>12</x:v>
      </x:c>
      <x:c r="H13" s="40" t="n">
        <x:f>H$5*12</x:f>
        <x:v>12</x:v>
      </x:c>
      <x:c r="I13" s="40" t="n">
        <x:f>I$5*12</x:f>
        <x:v>12</x:v>
      </x:c>
      <x:c r="J13" s="40" t="n">
        <x:f>J$5*12</x:f>
        <x:v>12</x:v>
      </x:c>
      <x:c r="K13" s="40" t="n">
        <x:f>K$5*12</x:f>
        <x:v>12</x:v>
      </x:c>
      <x:c r="L13" s="40" t="n">
        <x:f>L$5*12</x:f>
        <x:v>12</x:v>
      </x:c>
      <x:c r="M13" s="40" t="n">
        <x:f>M$5*12</x:f>
        <x:v>12</x:v>
      </x:c>
      <x:c r="N13" s="40" t="n">
        <x:f>N$5*12</x:f>
        <x:v>12</x:v>
      </x:c>
      <x:c r="O13" s="40" t="n">
        <x:f>O$5*12</x:f>
        <x:v>12</x:v>
      </x:c>
      <x:c r="P13" s="40" t="n">
        <x:f>P$5*12</x:f>
        <x:v>12</x:v>
      </x:c>
      <x:c r="Q13" s="40" t="n">
        <x:f>Q$5*12</x:f>
        <x:v>12</x:v>
      </x:c>
      <x:c r="R13" s="40" t="n">
        <x:f>R$5*12</x:f>
        <x:v>12</x:v>
      </x:c>
      <x:c r="S13" s="40" t="n">
        <x:f>S$5*12</x:f>
        <x:v>12</x:v>
      </x:c>
    </x:row>
    <x:row r="14" ht="20" customHeight="1">
      <x:c r="A14" s="3"/>
      <x:c r="B14" s="3"/>
      <x:c r="C14" s="3" t="str">
        <x:v>Usługi konsumenckie</x:v>
      </x:c>
      <x:c r="D14" s="40" t="n">
        <x:f>D11*D12*D13</x:f>
        <x:v>2968.2000000000003</x:v>
      </x:c>
      <x:c r="E14" s="40" t="n">
        <x:f>E11*E12*E13</x:f>
        <x:v>13864.484718879332</x:v>
      </x:c>
      <x:c r="F14" s="40" t="n">
        <x:f>F11*F12*F13</x:f>
        <x:v>16740.00507372241</x:v>
      </x:c>
      <x:c r="G14" s="40" t="n">
        <x:f>G11*G12*G13</x:f>
        <x:v>20211.91378909772</x:v>
      </x:c>
      <x:c r="H14" s="40" t="n">
        <x:f>H11*H12*H13</x:f>
        <x:v>24403.902939025666</x:v>
      </x:c>
      <x:c r="I14" s="40" t="n">
        <x:f>I11*I12*I13</x:f>
        <x:v>28229.97366559523</x:v>
      </x:c>
      <x:c r="J14" s="40" t="n">
        <x:f>J11*J12*J13</x:f>
        <x:v>31244.203466239233</x:v>
      </x:c>
      <x:c r="K14" s="40" t="n">
        <x:f>K11*K12*K13</x:f>
        <x:v>34580.27491642623</x:v>
      </x:c>
      <x:c r="L14" s="40" t="n">
        <x:f>L11*L12*L13</x:f>
        <x:v>38272.55236600055</x:v>
      </x:c>
      <x:c r="M14" s="40" t="n">
        <x:f>M11*M12*M13</x:f>
        <x:v>42359.06938705263</x:v>
      </x:c>
      <x:c r="N14" s="40" t="n">
        <x:f>N11*N12*N13</x:f>
        <x:v>45486.98270434875</x:v>
      </x:c>
      <x:c r="O14" s="40" t="n">
        <x:f>O11*O12*O13</x:f>
        <x:v>47460.9957787372</x:v>
      </x:c>
      <x:c r="P14" s="40" t="n">
        <x:f>P11*P12*P13</x:f>
        <x:v>49520.675727167036</x:v>
      </x:c>
      <x:c r="Q14" s="40" t="n">
        <x:f>Q11*Q12*Q13</x:f>
        <x:v>51669.740262252846</x:v>
      </x:c>
      <x:c r="R14" s="40" t="n">
        <x:f>R11*R12*R13</x:f>
        <x:v>53912.06843536756</x:v>
      </x:c>
      <x:c r="S14" s="40" t="n">
        <x:f>S11*S12*S13</x:f>
        <x:v>56251.707638311775</x:v>
      </x:c>
    </x:row>
    <x:row r="15" ht="20" customHeight="1">
      <x:c r="A15" s="3"/>
      <x:c r="B15" s="3"/>
      <x:c r="C15" s="3" t="str">
        <x:v>Nowe linie netto (mln)</x:v>
      </x:c>
      <x:c r="D15" s="40" t="n">
        <x:f>MAX(0,D10-D9)</x:f>
        <x:v>1.9000000000000004</x:v>
      </x:c>
      <x:c r="E15" s="40" t="n">
        <x:f>MAX(0,E10-E9)</x:f>
        <x:v>3.5005330363233647</x:v>
      </x:c>
      <x:c r="F15" s="40" t="n">
        <x:f>MAX(0,F10-F9)</x:f>
        <x:v>4.291096361380866</x:v>
      </x:c>
      <x:c r="G15" s="40" t="n">
        <x:f>MAX(0,G10-G9)</x:f>
        <x:v>5.260201172675107</x:v>
      </x:c>
      <x:c r="H15" s="40" t="n">
        <x:f>MAX(0,H10-H9)</x:f>
        <x:v>6.448169429620663</x:v>
      </x:c>
      <x:c r="I15" s="40" t="n">
        <x:f>MAX(0,I10-I9)</x:f>
        <x:v>3.983846251100765</x:v>
      </x:c>
      <x:c r="J15" s="40" t="n">
        <x:f>MAX(0,J10-J9)</x:f>
        <x:v>4.437304278312467</x:v>
      </x:c>
      <x:c r="K15" s="40" t="n">
        <x:f>MAX(0,K10-K9)</x:f>
        <x:v>4.942376793002424</x:v>
      </x:c>
      <x:c r="L15" s="40" t="n">
        <x:f>MAX(0,L10-L9)</x:f>
        <x:v>5.504938771811858</x:v>
      </x:c>
      <x:c r="M15" s="40" t="n">
        <x:f>MAX(0,M10-M9)</x:f>
        <x:v>6.131533905772486</x:v>
      </x:c>
      <x:c r="N15" s="40" t="n">
        <x:f>MAX(0,N10-N9)</x:f>
        <x:v>2.946903805298888</x:v>
      </x:c>
      <x:c r="O15" s="40" t="n">
        <x:f>MAX(0,O10-O9)</x:f>
        <x:v>3.091641172593654</x:v>
      </x:c>
      <x:c r="P15" s="40" t="n">
        <x:f>MAX(0,P10-P9)</x:f>
        <x:v>3.243487324862542</x:v>
      </x:c>
      <x:c r="Q15" s="40" t="n">
        <x:f>MAX(0,Q10-Q9)</x:f>
        <x:v>3.4027914105304973</x:v>
      </x:c>
      <x:c r="R15" s="40" t="n">
        <x:f>MAX(0,R10-R9)</x:f>
        <x:v>3.569919726469351</x:v>
      </x:c>
      <x:c r="S15" s="40" t="n">
        <x:f>MAX(0,S10-S9)</x:f>
        <x:v>3.7452565602450676</x:v>
      </x:c>
    </x:row>
    <x:row r="16" ht="20" customHeight="1">
      <x:c r="A16" s="3"/>
      <x:c r="B16" s="3"/>
      <x:c r="C16" s="3" t="str">
        <x:v>Wymieniane zestawy (mln)</x:v>
      </x:c>
      <x:c r="D16" s="38" t="n">
        <x:f>D11*'Założenia'!D141*D$5</x:f>
        <x:v>0.14550000000000002</x:v>
      </x:c>
      <x:c r="E16" s="38" t="n">
        <x:f>E11*'Założenia'!E141*E$5</x:f>
        <x:v>0.6900106607264672</x:v>
      </x:c>
      <x:c r="F16" s="38" t="n">
        <x:f>F11*'Założenia'!F141*F$5</x:f>
        <x:v>0.8458432486805519</x:v>
      </x:c>
      <x:c r="G16" s="38" t="n">
        <x:f>G11*'Założenia'!G141*G$5</x:f>
        <x:v>1.0368691993616712</x:v>
      </x:c>
      <x:c r="H16" s="38" t="n">
        <x:f>H11*'Założenia'!H141*H$5</x:f>
        <x:v>1.2710366114075868</x:v>
      </x:c>
      <x:c r="I16" s="38" t="n">
        <x:f>I11*'Założenia'!I141*I$5</x:f>
        <x:v>1.4796769250220154</x:v>
      </x:c>
      <x:c r="J16" s="38" t="n">
        <x:f>J11*'Założenia'!J141*J$5</x:f>
        <x:v>1.64809993561028</x:v>
      </x:c>
      <x:c r="K16" s="38" t="n">
        <x:f>K11*'Założenia'!K141*K$5</x:f>
        <x:v>1.8356935570365778</x:v>
      </x:c>
      <x:c r="L16" s="38" t="n">
        <x:f>L11*'Założenia'!L141*L$5</x:f>
        <x:v>2.0446398683328635</x:v>
      </x:c>
      <x:c r="M16" s="38" t="n">
        <x:f>M11*'Założenia'!M141*M$5</x:f>
        <x:v>2.2773693218845503</x:v>
      </x:c>
      <x:c r="N16" s="38" t="n">
        <x:f>N11*'Założenia'!N141*N$5</x:f>
        <x:v>2.458938076105978</x:v>
      </x:c>
      <x:c r="O16" s="38" t="n">
        <x:f>O11*'Założenia'!O141*O$5</x:f>
        <x:v>2.5797089756638285</x:v>
      </x:c>
      <x:c r="P16" s="38" t="n">
        <x:f>P11*'Założenia'!P141*P$5</x:f>
        <x:v>2.7064115456129527</x:v>
      </x:c>
      <x:c r="Q16" s="38" t="n">
        <x:f>Q11*'Założenia'!Q141*Q$5</x:f>
        <x:v>2.839337120320813</x:v>
      </x:c>
      <x:c r="R16" s="38" t="n">
        <x:f>R11*'Założenia'!R141*R$5</x:f>
        <x:v>2.97879134306081</x:v>
      </x:c>
      <x:c r="S16" s="38" t="n">
        <x:f>S11*'Założenia'!S141*S$5</x:f>
        <x:v>3.1250948687950983</x:v>
      </x:c>
    </x:row>
    <x:row r="17" ht="20" customHeight="1">
      <x:c r="A17" s="3"/>
      <x:c r="B17" s="3"/>
      <x:c r="C17" s="3" t="str">
        <x:v>Cena zestawu (USD)</x:v>
      </x:c>
      <x:c r="D17" s="38" t="n">
        <x:f>'Założenia'!D65</x:f>
        <x:v>300</x:v>
      </x:c>
      <x:c r="E17" s="38" t="n">
        <x:f>'Założenia'!E65</x:f>
        <x:v>294.8699043258512</x:v>
      </x:c>
      <x:c r="F17" s="38" t="n">
        <x:f>'Założenia'!F65</x:f>
        <x:v>289.8275349237888</x:v>
      </x:c>
      <x:c r="G17" s="38" t="n">
        <x:f>'Założenia'!G65</x:f>
        <x:v>284.871391646583</x:v>
      </x:c>
      <x:c r="H17" s="38" t="n">
        <x:f>'Założenia'!H65</x:f>
        <x:v>280</x:v>
      </x:c>
      <x:c r="I17" s="38" t="n">
        <x:f>'Założenia'!I65</x:f>
        <x:v>275.88055732655636</x:v>
      </x:c>
      <x:c r="J17" s="38" t="n">
        <x:f>'Założenia'!J65</x:f>
        <x:v>271.8217211100405</x:v>
      </x:c>
      <x:c r="K17" s="38" t="n">
        <x:f>'Założenia'!K65</x:f>
        <x:v>267.82259969036346</x:v>
      </x:c>
      <x:c r="L17" s="38" t="n">
        <x:f>'Założenia'!L65</x:f>
        <x:v>263.88231452580237</x:v>
      </x:c>
      <x:c r="M17" s="38" t="n">
        <x:f>'Założenia'!M65</x:f>
        <x:v>260</x:v>
      </x:c>
      <x:c r="N17" s="38" t="n">
        <x:f>'Założenia'!N65</x:f>
        <x:v>258.3059785229558</x:v>
      </x:c>
      <x:c r="O17" s="38" t="n">
        <x:f>'Założenia'!O65</x:f>
        <x:v>256.62299438731424</x:v>
      </x:c>
      <x:c r="P17" s="38" t="n">
        <x:f>'Założenia'!P65</x:f>
        <x:v>254.95097567963927</x:v>
      </x:c>
      <x:c r="Q17" s="38" t="n">
        <x:f>'Założenia'!Q65</x:f>
        <x:v>253.28985095504433</x:v>
      </x:c>
      <x:c r="R17" s="38" t="n">
        <x:f>'Założenia'!R65</x:f>
        <x:v>251.63954923413982</x:v>
      </x:c>
      <x:c r="S17" s="38" t="n">
        <x:f>'Założenia'!S65</x:f>
        <x:v>250</x:v>
      </x:c>
    </x:row>
    <x:row r="18" ht="20" customHeight="1">
      <x:c r="A18" s="3"/>
      <x:c r="B18" s="3"/>
      <x:c r="C18" s="3" t="str">
        <x:v>Sprzedaż zestawów</x:v>
      </x:c>
      <x:c r="D18" s="40" t="n">
        <x:f>SUM(D15:D16)*D17</x:f>
        <x:v>613.6500000000002</x:v>
      </x:c>
      <x:c r="E18" s="40" t="n">
        <x:f>SUM(E15:E16)*E17</x:f>
        <x:v>1235.6652190223829</x:v>
      </x:c>
      <x:c r="F18" s="40" t="n">
        <x:f>SUM(F15:F16)*F17</x:f>
        <x:v>1488.8265442364695</x:v>
      </x:c>
      <x:c r="G18" s="40" t="n">
        <x:f>SUM(G15:G16)*G17</x:f>
        <x:v>1793.8552001785831</x:v>
      </x:c>
      <x:c r="H18" s="40" t="n">
        <x:f>SUM(H15:H16)*H17</x:f>
        <x:v>2161.37769148791</x:v>
      </x:c>
      <x:c r="I18" s="40" t="n">
        <x:f>SUM(I15:I16)*I17</x:f>
        <x:v>1507.2798187953101</x:v>
      </x:c>
      <x:c r="J18" s="40" t="n">
        <x:f>SUM(J15:J16)*J17</x:f>
        <x:v>1654.1450470787745</x:v>
      </x:c>
      <x:c r="K18" s="40" t="n">
        <x:f>SUM(K15:K16)*K17</x:f>
        <x:v>1815.3204220316172</x:v>
      </x:c>
      <x:c r="L18" s="40" t="n">
        <x:f>SUM(L15:L16)*L17</x:f>
        <x:v>1992.2002852559488</x:v>
      </x:c>
      <x:c r="M18" s="40" t="n">
        <x:f>SUM(M15:M16)*M17</x:f>
        <x:v>2186.314839190829</x:v>
      </x:c>
      <x:c r="N18" s="40" t="n">
        <x:f>SUM(N15:N16)*N17</x:f>
        <x:v>1396.3612769166602</x:v>
      </x:c>
      <x:c r="O18" s="40" t="n">
        <x:f>SUM(O15:O16)*O17</x:f>
        <x:v>1455.3988572647738</x:v>
      </x:c>
      <x:c r="P18" s="40" t="n">
        <x:f>SUM(P15:P16)*P17</x:f>
        <x:v>1516.932522222911</x:v>
      </x:c>
      <x:c r="Q18" s="40" t="n">
        <x:f>SUM(Q15:Q16)*Q17</x:f>
        <x:v>1581.0678052215583</x:v>
      </x:c>
      <x:c r="R18" s="40" t="n">
        <x:f>SUM(R15:R16)*R17</x:f>
        <x:v>1647.9147016011914</x:v>
      </x:c>
      <x:c r="S18" s="40" t="n">
        <x:f>SUM(S15:S16)*S17</x:f>
        <x:v>1717.5878572600416</x:v>
      </x:c>
    </x:row>
    <x:row r="19" ht="20" customHeight="1">
      <x:c r="A19" s="3"/>
      <x:c r="B19" s="3"/>
      <x:c r="C19" s="3" t="str">
        <x:v>Enterprise i government</x:v>
      </x:c>
      <x:c r="D19" s="38" t="n">
        <x:f>'Założenia'!D61*D$5</x:f>
        <x:v>2400</x:v>
      </x:c>
      <x:c r="E19" s="38" t="n">
        <x:f>'Założenia'!E61*E$5</x:f>
        <x:v>11675.03653966938</x:v>
      </x:c>
      <x:c r="F19" s="38" t="n">
        <x:f>'Założenia'!F61*F$5</x:f>
        <x:v>14198.59147943908</x:v>
      </x:c>
      <x:c r="G19" s="38" t="n">
        <x:f>'Założenia'!G61*G$5</x:f>
        <x:v>17267.61190982183</x:v>
      </x:c>
      <x:c r="H19" s="38" t="n">
        <x:f>'Założenia'!H61*H$5</x:f>
        <x:v>21000</x:v>
      </x:c>
      <x:c r="I19" s="38" t="n">
        <x:f>'Założenia'!I61*I$5</x:f>
        <x:v>23888.420437389545</x:v>
      </x:c>
      <x:c r="J19" s="38" t="n">
        <x:f>'Założenia'!J61*J$5</x:f>
        <x:v>27174.1252854043</x:v>
      </x:c>
      <x:c r="K19" s="38" t="n">
        <x:f>'Założenia'!K61*K$5</x:f>
        <x:v>30911.758563620762</x:v>
      </x:c>
      <x:c r="L19" s="38" t="n">
        <x:f>'Założenia'!L61*L$5</x:f>
        <x:v>35163.480239373785</x:v>
      </x:c>
      <x:c r="M19" s="38" t="n">
        <x:f>'Założenia'!M61*M$5</x:f>
        <x:v>40000</x:v>
      </x:c>
      <x:c r="N19" s="38" t="n">
        <x:f>'Założenia'!N61*N$5</x:f>
        <x:v>41234.132835457785</x:v>
      </x:c>
      <x:c r="O19" s="38" t="n">
        <x:f>'Założenia'!O61*O$5</x:f>
        <x:v>42506.34276730444</x:v>
      </x:c>
      <x:c r="P19" s="38" t="n">
        <x:f>'Założenia'!P61*P$5</x:f>
        <x:v>43817.804600413285</x:v>
      </x:c>
      <x:c r="Q19" s="38" t="n">
        <x:f>'Założenia'!Q61*Q$5</x:f>
        <x:v>45169.729386289364</x:v>
      </x:c>
      <x:c r="R19" s="38" t="n">
        <x:f>'Założenia'!R61*R$5</x:f>
        <x:v>46563.36554139842</x:v>
      </x:c>
      <x:c r="S19" s="38" t="n">
        <x:f>'Założenia'!S61*S$5</x:f>
        <x:v>48000</x:v>
      </x:c>
    </x:row>
    <x:row r="20" ht="23" customHeight="1">
      <x:c r="A20" s="3"/>
      <x:c r="B20" s="3"/>
      <x:c r="C20" s="45" t="str">
        <x:v>Connectivity: przychody</x:v>
      </x:c>
      <x:c r="D20" s="46" t="n">
        <x:f>SUM(D14,D18:D19)</x:f>
        <x:v>5981.85</x:v>
      </x:c>
      <x:c r="E20" s="46" t="n">
        <x:f>SUM(E14,E18:E19)</x:f>
        <x:v>26775.186477571093</x:v>
      </x:c>
      <x:c r="F20" s="46" t="n">
        <x:f>SUM(F14,F18:F19)</x:f>
        <x:v>32427.423097397957</x:v>
      </x:c>
      <x:c r="G20" s="46" t="n">
        <x:f>SUM(G14,G18:G19)</x:f>
        <x:v>39273.380899098134</x:v>
      </x:c>
      <x:c r="H20" s="46" t="n">
        <x:f>SUM(H14,H18:H19)</x:f>
        <x:v>47565.280630513575</x:v>
      </x:c>
      <x:c r="I20" s="46" t="n">
        <x:f>SUM(I14,I18:I19)</x:f>
        <x:v>53625.67392178008</x:v>
      </x:c>
      <x:c r="J20" s="46" t="n">
        <x:f>SUM(J14,J18:J19)</x:f>
        <x:v>60072.473798722305</x:v>
      </x:c>
      <x:c r="K20" s="46" t="n">
        <x:f>SUM(K14,K18:K19)</x:f>
        <x:v>67307.35390207861</x:v>
      </x:c>
      <x:c r="L20" s="46" t="n">
        <x:f>SUM(L14,L18:L19)</x:f>
        <x:v>75428.23289063029</x:v>
      </x:c>
      <x:c r="M20" s="46" t="n">
        <x:f>SUM(M14,M18:M19)</x:f>
        <x:v>84545.38422624346</x:v>
      </x:c>
      <x:c r="N20" s="46" t="n">
        <x:f>SUM(N14,N18:N19)</x:f>
        <x:v>88117.4768167232</x:v>
      </x:c>
      <x:c r="O20" s="46" t="n">
        <x:f>SUM(O14,O18:O19)</x:f>
        <x:v>91422.73740330641</x:v>
      </x:c>
      <x:c r="P20" s="46" t="n">
        <x:f>SUM(P14,P18:P19)</x:f>
        <x:v>94855.41284980322</x:v>
      </x:c>
      <x:c r="Q20" s="46" t="n">
        <x:f>SUM(Q14,Q18:Q19)</x:f>
        <x:v>98420.53745376377</x:v>
      </x:c>
      <x:c r="R20" s="46" t="n">
        <x:f>SUM(R14,R18:R19)</x:f>
        <x:v>102123.34867836718</x:v>
      </x:c>
      <x:c r="S20" s="46" t="n">
        <x:f>SUM(S14,S18:S19)</x:f>
        <x:v>105969.29549557182</x:v>
      </x:c>
    </x:row>
    <x:row r="21" ht="20" customHeight="1">
      <x:c r="A21" s="3"/>
      <x:c r="B21" s="3"/>
      <x:c r="C21" s="10" t="str">
        <x:v>Marża cash przed SBC</x:v>
      </x:c>
      <x:c r="D21" s="42" t="n">
        <x:f>'Założenia'!D69</x:f>
        <x:v>0.67</x:v>
      </x:c>
      <x:c r="E21" s="42" t="n">
        <x:f>'Założenia'!E69</x:f>
        <x:v>0.6674858843728764</x:v>
      </x:c>
      <x:c r="F21" s="42" t="n">
        <x:f>'Założenia'!F69</x:f>
        <x:v>0.664981202741852</x:v>
      </x:c>
      <x:c r="G21" s="42" t="n">
        <x:f>'Założenia'!G69</x:f>
        <x:v>0.6624859197066926</x:v>
      </x:c>
      <x:c r="H21" s="42" t="n">
        <x:f>'Założenia'!H69</x:f>
        <x:v>0.66</x:v>
      </x:c>
      <x:c r="I21" s="42" t="n">
        <x:f>'Założenia'!I69</x:f>
        <x:v>0.6559506144680631</x:v>
      </x:c>
      <x:c r="J21" s="42" t="n">
        <x:f>'Założenia'!J69</x:f>
        <x:v>0.6519260736682265</x:v>
      </x:c>
      <x:c r="K21" s="42" t="n">
        <x:f>'Założenia'!K69</x:f>
        <x:v>0.6479262251673106</x:v>
      </x:c>
      <x:c r="L21" s="42" t="n">
        <x:f>'Założenia'!L69</x:f>
        <x:v>0.6439509174673788</x:v>
      </x:c>
      <x:c r="M21" s="42" t="n">
        <x:f>'Założenia'!M69</x:f>
        <x:v>0.64</x:v>
      </x:c>
      <x:c r="N21" s="42" t="n">
        <x:f>'Założenia'!N69</x:f>
        <x:v>0.6366224162180228</x:v>
      </x:c>
      <x:c r="O21" s="42" t="n">
        <x:f>'Założenia'!O69</x:f>
        <x:v>0.6332626575488649</x:v>
      </x:c>
      <x:c r="P21" s="42" t="n">
        <x:f>'Założenia'!P69</x:f>
        <x:v>0.6299206299209449</x:v>
      </x:c>
      <x:c r="Q21" s="42" t="n">
        <x:f>'Założenia'!Q69</x:f>
        <x:v>0.6265962397591421</x:v>
      </x:c>
      <x:c r="R21" s="42" t="n">
        <x:f>'Założenia'!R69</x:f>
        <x:v>0.6232893939821759</x:v>
      </x:c>
      <x:c r="S21" s="42" t="n">
        <x:f>'Założenia'!S69</x:f>
        <x:v>0.62</x:v>
      </x:c>
    </x:row>
    <x:row r="22" ht="20" customHeight="1">
      <x:c r="A22" s="3"/>
      <x:c r="B22" s="3"/>
      <x:c r="C22" s="10" t="str">
        <x:v>SBC / przychody</x:v>
      </x:c>
      <x:c r="D22" s="42" t="n">
        <x:f>'Założenia'!D73</x:f>
        <x:v>0.03</x:v>
      </x:c>
      <x:c r="E22" s="42" t="n">
        <x:f>'Założenia'!E73</x:f>
        <x:v>0.03</x:v>
      </x:c>
      <x:c r="F22" s="42" t="n">
        <x:f>'Założenia'!F73</x:f>
        <x:v>0.03</x:v>
      </x:c>
      <x:c r="G22" s="42" t="n">
        <x:f>'Założenia'!G73</x:f>
        <x:v>0.03</x:v>
      </x:c>
      <x:c r="H22" s="42" t="n">
        <x:f>'Założenia'!H73</x:f>
        <x:v>0.03</x:v>
      </x:c>
      <x:c r="I22" s="42" t="n">
        <x:f>'Założenia'!I73</x:f>
        <x:v>0.028925775120078816</x:v>
      </x:c>
      <x:c r="J22" s="42" t="n">
        <x:f>'Założenia'!J73</x:f>
        <x:v>0.02789001554324569</x:v>
      </x:c>
      <x:c r="K22" s="42" t="n">
        <x:f>'Założenia'!K73</x:f>
        <x:v>0.026891343923314253</x:v>
      </x:c>
      <x:c r="L22" s="42" t="n">
        <x:f>'Założenia'!L73</x:f>
        <x:v>0.025928432233416204</x:v>
      </x:c>
      <x:c r="M22" s="42" t="n">
        <x:f>'Założenia'!M73</x:f>
        <x:v>0.025</x:v>
      </x:c>
      <x:c r="N22" s="42" t="n">
        <x:f>'Założenia'!N73</x:f>
        <x:v>0.024087312099974903</x:v>
      </x:c>
      <x:c r="O22" s="42" t="n">
        <x:f>'Założenia'!O73</x:f>
        <x:v>0.023207944168063894</x:v>
      </x:c>
      <x:c r="P22" s="42" t="n">
        <x:f>'Założenia'!P73</x:f>
        <x:v>0.022360679774997897</x:v>
      </x:c>
      <x:c r="Q22" s="42" t="n">
        <x:f>'Założenia'!Q73</x:f>
        <x:v>0.02154434690031884</x:v>
      </x:c>
      <x:c r="R22" s="42" t="n">
        <x:f>'Założenia'!R73</x:f>
        <x:v>0.020757816311124267</x:v>
      </x:c>
      <x:c r="S22" s="42" t="n">
        <x:f>'Założenia'!S73</x:f>
        <x:v>0.02</x:v>
      </x:c>
    </x:row>
    <x:row r="23" ht="20" customHeight="1">
      <x:c r="A23" s="3"/>
      <x:c r="B23" s="3"/>
      <x:c r="C23" s="3" t="str">
        <x:v>Koszt SBC</x:v>
      </x:c>
      <x:c r="D23" s="40" t="n">
        <x:f>D20*D22</x:f>
        <x:v>179.4555</x:v>
      </x:c>
      <x:c r="E23" s="40" t="n">
        <x:f>E20*E22</x:f>
        <x:v>803.2555943271327</x:v>
      </x:c>
      <x:c r="F23" s="40" t="n">
        <x:f>F20*F22</x:f>
        <x:v>972.8226929219387</x:v>
      </x:c>
      <x:c r="G23" s="40" t="n">
        <x:f>G20*G22</x:f>
        <x:v>1178.201426972944</x:v>
      </x:c>
      <x:c r="H23" s="40" t="n">
        <x:f>H20*H22</x:f>
        <x:v>1426.9584189154073</x:v>
      </x:c>
      <x:c r="I23" s="40" t="n">
        <x:f>I20*I22</x:f>
        <x:v>1551.1641845240856</x:v>
      </x:c>
      <x:c r="J23" s="40" t="n">
        <x:f>J20*J22</x:f>
        <x:v>1675.4222279675844</x:v>
      </x:c>
      <x:c r="K23" s="40" t="n">
        <x:f>K20*K22</x:f>
        <x:v>1809.9852023490237</x:v>
      </x:c>
      <x:c r="L23" s="40" t="n">
        <x:f>L20*L22</x:f>
        <x:v>1955.7358249910426</x:v>
      </x:c>
      <x:c r="M23" s="40" t="n">
        <x:f>M20*M22</x:f>
        <x:v>2113.6346056560865</x:v>
      </x:c>
      <x:c r="N23" s="40" t="n">
        <x:f>N20*N22</x:f>
        <x:v>2122.513165546715</x:v>
      </x:c>
      <x:c r="O23" s="40" t="n">
        <x:f>O20*O22</x:f>
        <x:v>2121.733785347502</x:v>
      </x:c>
      <x:c r="P23" s="40" t="n">
        <x:f>P20*P22</x:f>
        <x:v>2121.0315116596707</x:v>
      </x:c>
      <x:c r="Q23" s="40" t="n">
        <x:f>Q20*Q22</x:f>
        <x:v>2120.40620101971</x:v>
      </x:c>
      <x:c r="R23" s="40" t="n">
        <x:f>R20*R22</x:f>
        <x:v>2119.857712942441</x:v>
      </x:c>
      <x:c r="S23" s="40" t="n">
        <x:f>S20*S22</x:f>
        <x:v>2119.3859099114366</x:v>
      </x:c>
    </x:row>
    <x:row r="24" ht="23" customHeight="1">
      <x:c r="A24" s="3"/>
      <x:c r="B24" s="3"/>
      <x:c r="C24" s="45" t="str">
        <x:v>Connectivity: EBITDA po SBC</x:v>
      </x:c>
      <x:c r="D24" s="46" t="n">
        <x:f>D20*D21-D23</x:f>
        <x:v>3828.3840000000005</x:v>
      </x:c>
      <x:c r="E24" s="46" t="n">
        <x:f>E20*E21-E23</x:f>
        <x:v>17068.803430903088</x:v>
      </x:c>
      <x:c r="F24" s="46" t="n">
        <x:f>F20*F21-F23</x:f>
        <x:v>20590.80412020467</x:v>
      </x:c>
      <x:c r="G24" s="46" t="n">
        <x:f>G20*G21-G23</x:f>
        <x:v>24839.860437957337</x:v>
      </x:c>
      <x:c r="H24" s="46" t="n">
        <x:f>H20*H21-H23</x:f>
        <x:v>29966.12679722355</x:v>
      </x:c>
      <x:c r="I24" s="46" t="n">
        <x:f>I20*I21-I23</x:f>
        <x:v>33624.629575731546</x:v>
      </x:c>
      <x:c r="J24" s="46" t="n">
        <x:f>J20*J21-J23</x:f>
        <x:v>37487.389751170864</x:v>
      </x:c>
      <x:c r="K24" s="46" t="n">
        <x:f>K20*K21-K23</x:f>
        <x:v>41800.214537425025</x:v>
      </x:c>
      <x:c r="L24" s="46" t="n">
        <x:f>L20*L21-L23</x:f>
        <x:v>46616.34394787345</x:v>
      </x:c>
      <x:c r="M24" s="46" t="n">
        <x:f>M20*M21-M23</x:f>
        <x:v>51995.41129913973</x:v>
      </x:c>
      <x:c r="N24" s="46" t="n">
        <x:f>N20*N21-N23</x:f>
        <x:v>53975.047836551224</x:v>
      </x:c>
      <x:c r="O24" s="46" t="n">
        <x:f>O20*O21-O23</x:f>
        <x:v>55772.871863062326</x:v>
      </x:c>
      <x:c r="P24" s="46" t="n">
        <x:f>P20*P21-P23</x:f>
        <x:v>57630.34990209967</x:v>
      </x:c>
      <x:c r="Q24" s="46" t="n">
        <x:f>Q20*Q21-Q23</x:f>
        <x:v>59549.53248258248</x:v>
      </x:c>
      <x:c r="R24" s="46" t="n">
        <x:f>R20*R21-R23</x:f>
        <x:v>61532.54239622748</x:v>
      </x:c>
      <x:c r="S24" s="46" t="n">
        <x:f>S20*S21-S23</x:f>
        <x:v>63581.57729734309</x:v>
      </x:c>
    </x:row>
    <x:row r="25" ht="20" customHeight="1">
      <x:c r="A25" s="3"/>
      <x:c r="B25" s="3"/>
      <x:c r="C25" s="10" t="str">
        <x:v>Capex / przychody</x:v>
      </x:c>
      <x:c r="D25" s="42" t="n">
        <x:f>'Założenia'!D77</x:f>
        <x:v>0.33</x:v>
      </x:c>
      <x:c r="E25" s="42" t="n">
        <x:f>'Założenia'!E77</x:f>
        <x:v>0.3248821708025058</x:v>
      </x:c>
      <x:c r="F25" s="42" t="n">
        <x:f>'Założenia'!F77</x:f>
        <x:v>0.31984371183438953</x:v>
      </x:c>
      <x:c r="G25" s="42" t="n">
        <x:f>'Założenia'!G77</x:f>
        <x:v>0.31488339217662903</x:v>
      </x:c>
      <x:c r="H25" s="42" t="n">
        <x:f>'Założenia'!H77</x:f>
        <x:v>0.31</x:v>
      </x:c>
      <x:c r="I25" s="42" t="n">
        <x:f>'Założenia'!I77</x:f>
        <x:v>0.3037532695711895</x:v>
      </x:c>
      <x:c r="J25" s="42" t="n">
        <x:f>'Założenia'!J77</x:f>
        <x:v>0.29763241540383134</x:v>
      </x:c>
      <x:c r="K25" s="42" t="n">
        <x:f>'Założenia'!K77</x:f>
        <x:v>0.29163490099769107</x:v>
      </x:c>
      <x:c r="L25" s="42" t="n">
        <x:f>'Założenia'!L77</x:f>
        <x:v>0.2857582409648994</x:v>
      </x:c>
      <x:c r="M25" s="42" t="n">
        <x:f>'Założenia'!M77</x:f>
        <x:v>0.28</x:v>
      </x:c>
      <x:c r="N25" s="42" t="n">
        <x:f>'Założenia'!N77</x:f>
        <x:v>0.2765628980496996</x:v>
      </x:c>
      <x:c r="O25" s="42" t="n">
        <x:f>'Założenia'!O77</x:f>
        <x:v>0.2731679877773161</x:v>
      </x:c>
      <x:c r="P25" s="42" t="n">
        <x:f>'Założenia'!P77</x:f>
        <x:v>0.26981475126464083</x:v>
      </x:c>
      <x:c r="Q25" s="42" t="n">
        <x:f>'Założenia'!Q77</x:f>
        <x:v>0.2665026769510997</x:v>
      </x:c>
      <x:c r="R25" s="42" t="n">
        <x:f>'Założenia'!R77</x:f>
        <x:v>0.26323125955571064</x:v>
      </x:c>
      <x:c r="S25" s="42" t="n">
        <x:f>'Założenia'!S77</x:f>
        <x:v>0.26</x:v>
      </x:c>
    </x:row>
    <x:row r="26" ht="23" customHeight="1">
      <x:c r="A26" s="3"/>
      <x:c r="B26" s="3"/>
      <x:c r="C26" s="45" t="str">
        <x:v>Connectivity: capex</x:v>
      </x:c>
      <x:c r="D26" s="46" t="n">
        <x:f>D20*D25</x:f>
        <x:v>1974.0105000000003</x:v>
      </x:c>
      <x:c r="E26" s="46" t="n">
        <x:f>E20*E25</x:f>
        <x:v>8698.780706475196</x:v>
      </x:c>
      <x:c r="F26" s="46" t="n">
        <x:f>F20*F25</x:f>
        <x:v>10371.70736869598</x:v>
      </x:c>
      <x:c r="G26" s="46" t="n">
        <x:f>G20*G25</x:f>
        <x:v>12366.53539975285</x:v>
      </x:c>
      <x:c r="H26" s="46" t="n">
        <x:f>H20*H25</x:f>
        <x:v>14745.236995459209</x:v>
      </x:c>
      <x:c r="I26" s="46" t="n">
        <x:f>I20*I25</x:f>
        <x:v>16288.973786699169</x:v>
      </x:c>
      <x:c r="J26" s="46" t="n">
        <x:f>J20*J25</x:f>
        <x:v>17879.51547599709</x:v>
      </x:c>
      <x:c r="K26" s="46" t="n">
        <x:f>K20*K25</x:f>
        <x:v>19629.173491649253</x:v>
      </x:c>
      <x:c r="L26" s="46" t="n">
        <x:f>L20*L25</x:f>
        <x:v>21554.239149917277</x:v>
      </x:c>
      <x:c r="M26" s="46" t="n">
        <x:f>M20*M25</x:f>
        <x:v>23672.707583348172</x:v>
      </x:c>
      <x:c r="N26" s="46" t="n">
        <x:f>N20*N25</x:f>
        <x:v>24370.024757260184</x:v>
      </x:c>
      <x:c r="O26" s="46" t="n">
        <x:f>O20*O25</x:f>
        <x:v>24973.765213555187</x:v>
      </x:c>
      <x:c r="P26" s="46" t="n">
        <x:f>P20*P25</x:f>
        <x:v>25593.389624174473</x:v>
      </x:c>
      <x:c r="Q26" s="46" t="n">
        <x:f>Q20*Q25</x:f>
        <x:v>26229.336698394014</x:v>
      </x:c>
      <x:c r="R26" s="46" t="n">
        <x:f>R20*R25</x:f>
        <x:v>26882.057702653612</x:v>
      </x:c>
      <x:c r="S26" s="46" t="n">
        <x:f>S20*S25</x:f>
        <x:v>27552.016828848675</x:v>
      </x:c>
    </x:row>
    <x:row r="27" ht="20" customHeight="1">
      <x:c r="A27" s="3"/>
      <x:c r="B27" s="3"/>
      <x:c r="C27" s="3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  <x:c r="P27" s="14"/>
      <x:c r="Q27" s="14"/>
      <x:c r="R27" s="14"/>
      <x:c r="S27" s="14"/>
    </x:row>
    <x:row r="28" ht="23" customHeight="1">
      <x:c r="A28" s="3"/>
      <x:c r="B28" s="3"/>
      <x:c r="C28" s="17" t="str">
        <x:v>Space — tylko przychody zewnętrzne</x:v>
      </x:c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</x:row>
    <x:row r="29" ht="20" customHeight="1">
      <x:c r="A29" s="3"/>
      <x:c r="B29" s="3"/>
      <x:c r="C29" s="3" t="str">
        <x:v>Starty dla klientów</x:v>
      </x:c>
      <x:c r="D29" s="38" t="n">
        <x:f>'Założenia'!D81</x:f>
        <x:v>14</x:v>
      </x:c>
      <x:c r="E29" s="38" t="n">
        <x:f>'Założenia'!E81</x:f>
        <x:v>68</x:v>
      </x:c>
      <x:c r="F29" s="38" t="n">
        <x:f>'Założenia'!F81</x:f>
        <x:v>77</x:v>
      </x:c>
      <x:c r="G29" s="38" t="n">
        <x:f>'Założenia'!G81</x:f>
        <x:v>88</x:v>
      </x:c>
      <x:c r="H29" s="38" t="n">
        <x:f>'Założenia'!H81</x:f>
        <x:v>100</x:v>
      </x:c>
      <x:c r="I29" s="38" t="n">
        <x:f>'Założenia'!I81</x:f>
        <x:v>110</x:v>
      </x:c>
      <x:c r="J29" s="38" t="n">
        <x:f>'Założenia'!J81</x:f>
        <x:v>121</x:v>
      </x:c>
      <x:c r="K29" s="38" t="n">
        <x:f>'Założenia'!K81</x:f>
        <x:v>133</x:v>
      </x:c>
      <x:c r="L29" s="38" t="n">
        <x:f>'Założenia'!L81</x:f>
        <x:v>146</x:v>
      </x:c>
      <x:c r="M29" s="38" t="n">
        <x:f>'Założenia'!M81</x:f>
        <x:v>160</x:v>
      </x:c>
      <x:c r="N29" s="38" t="n">
        <x:f>'Założenia'!N81</x:f>
        <x:v>165</x:v>
      </x:c>
      <x:c r="O29" s="38" t="n">
        <x:f>'Założenia'!O81</x:f>
        <x:v>171</x:v>
      </x:c>
      <x:c r="P29" s="38" t="n">
        <x:f>'Założenia'!P81</x:f>
        <x:v>177</x:v>
      </x:c>
      <x:c r="Q29" s="38" t="n">
        <x:f>'Założenia'!Q81</x:f>
        <x:v>183</x:v>
      </x:c>
      <x:c r="R29" s="38" t="n">
        <x:f>'Założenia'!R81</x:f>
        <x:v>189</x:v>
      </x:c>
      <x:c r="S29" s="38" t="n">
        <x:f>'Założenia'!S81</x:f>
        <x:v>195</x:v>
      </x:c>
    </x:row>
    <x:row r="30" ht="20" customHeight="1">
      <x:c r="A30" s="3"/>
      <x:c r="B30" s="3"/>
      <x:c r="C30" s="3" t="str">
        <x:v>Przychód na start (USD mln)</x:v>
      </x:c>
      <x:c r="D30" s="38" t="n">
        <x:f>'Założenia'!D85</x:f>
        <x:v>78</x:v>
      </x:c>
      <x:c r="E30" s="38" t="n">
        <x:f>'Założenia'!E85</x:f>
        <x:v>75.91812299442265</x:v>
      </x:c>
      <x:c r="F30" s="38" t="n">
        <x:f>'Założenia'!F85</x:f>
        <x:v>73.89181280764467</x:v>
      </x:c>
      <x:c r="G30" s="38" t="n">
        <x:f>'Założenia'!G85</x:f>
        <x:v>71.91958632066182</x:v>
      </x:c>
      <x:c r="H30" s="38" t="n">
        <x:f>'Założenia'!H85</x:f>
        <x:v>70</x:v>
      </x:c>
      <x:c r="I30" s="38" t="n">
        <x:f>'Założenia'!I85</x:f>
        <x:v>68.97013933163909</x:v>
      </x:c>
      <x:c r="J30" s="38" t="n">
        <x:f>'Założenia'!J85</x:f>
        <x:v>67.95543027751013</x:v>
      </x:c>
      <x:c r="K30" s="38" t="n">
        <x:f>'Założenia'!K85</x:f>
        <x:v>66.95564992259087</x:v>
      </x:c>
      <x:c r="L30" s="38" t="n">
        <x:f>'Założenia'!L85</x:f>
        <x:v>65.97057863145059</x:v>
      </x:c>
      <x:c r="M30" s="38" t="n">
        <x:f>'Założenia'!M85</x:f>
        <x:v>65</x:v>
      </x:c>
      <x:c r="N30" s="38" t="n">
        <x:f>'Założenia'!N85</x:f>
        <x:v>64.13862898057167</x:v>
      </x:c>
      <x:c r="O30" s="38" t="n">
        <x:f>'Założenia'!O85</x:f>
        <x:v>63.28867273088349</x:v>
      </x:c>
      <x:c r="P30" s="38" t="n">
        <x:f>'Założenia'!P85</x:f>
        <x:v>62.44997998398399</x:v>
      </x:c>
      <x:c r="Q30" s="38" t="n">
        <x:f>'Założenia'!Q85</x:f>
        <x:v>61.622401477490385</x:v>
      </x:c>
      <x:c r="R30" s="38" t="n">
        <x:f>'Założenia'!R85</x:f>
        <x:v>60.805789927024406</x:v>
      </x:c>
      <x:c r="S30" s="38" t="n">
        <x:f>'Założenia'!S85</x:f>
        <x:v>60</x:v>
      </x:c>
    </x:row>
    <x:row r="31" ht="20" customHeight="1">
      <x:c r="A31" s="3"/>
      <x:c r="B31" s="3"/>
      <x:c r="C31" s="3" t="str">
        <x:v>Przychody z zewnętrznych startów</x:v>
      </x:c>
      <x:c r="D31" s="40" t="n">
        <x:f>D29*D30</x:f>
        <x:v>1092</x:v>
      </x:c>
      <x:c r="E31" s="40" t="n">
        <x:f>E29*E30</x:f>
        <x:v>5162.43236362074</x:v>
      </x:c>
      <x:c r="F31" s="40" t="n">
        <x:f>F29*F30</x:f>
        <x:v>5689.669586188639</x:v>
      </x:c>
      <x:c r="G31" s="40" t="n">
        <x:f>G29*G30</x:f>
        <x:v>6328.92359621824</x:v>
      </x:c>
      <x:c r="H31" s="40" t="n">
        <x:f>H29*H30</x:f>
        <x:v>7000</x:v>
      </x:c>
      <x:c r="I31" s="40" t="n">
        <x:f>I29*I30</x:f>
        <x:v>7586.7153264803</x:v>
      </x:c>
      <x:c r="J31" s="40" t="n">
        <x:f>J29*J30</x:f>
        <x:v>8222.607063578726</x:v>
      </x:c>
      <x:c r="K31" s="40" t="n">
        <x:f>K29*K30</x:f>
        <x:v>8905.101439704586</x:v>
      </x:c>
      <x:c r="L31" s="40" t="n">
        <x:f>L29*L30</x:f>
        <x:v>9631.704480191787</x:v>
      </x:c>
      <x:c r="M31" s="40" t="n">
        <x:f>M29*M30</x:f>
        <x:v>10400</x:v>
      </x:c>
      <x:c r="N31" s="40" t="n">
        <x:f>N29*N30</x:f>
        <x:v>10582.873781794326</x:v>
      </x:c>
      <x:c r="O31" s="40" t="n">
        <x:f>O29*O30</x:f>
        <x:v>10822.363036981076</x:v>
      </x:c>
      <x:c r="P31" s="40" t="n">
        <x:f>P29*P30</x:f>
        <x:v>11053.646457165165</x:v>
      </x:c>
      <x:c r="Q31" s="40" t="n">
        <x:f>Q29*Q30</x:f>
        <x:v>11276.89947038074</x:v>
      </x:c>
      <x:c r="R31" s="40" t="n">
        <x:f>R29*R30</x:f>
        <x:v>11492.294296207612</x:v>
      </x:c>
      <x:c r="S31" s="40" t="n">
        <x:f>S29*S30</x:f>
        <x:v>11700</x:v>
      </x:c>
    </x:row>
    <x:row r="32" ht="20" customHeight="1">
      <x:c r="A32" s="3"/>
      <x:c r="B32" s="3"/>
      <x:c r="C32" s="3" t="str">
        <x:v>Programy rozwojowe</x:v>
      </x:c>
      <x:c r="D32" s="38" t="n">
        <x:f>'Założenia'!D89*D$5</x:f>
        <x:v>625</x:v>
      </x:c>
      <x:c r="E32" s="38" t="n">
        <x:f>'Założenia'!E89*E$5</x:f>
        <x:v>2895.730463220673</x:v>
      </x:c>
      <x:c r="F32" s="38" t="n">
        <x:f>'Założenia'!F89*F$5</x:f>
        <x:v>3354.1019662496847</x:v>
      </x:c>
      <x:c r="G32" s="38" t="n">
        <x:f>'Założenia'!G89*G$5</x:f>
        <x:v>3885.030096167027</x:v>
      </x:c>
      <x:c r="H32" s="38" t="n">
        <x:f>'Założenia'!H89*H$5</x:f>
        <x:v>4500</x:v>
      </x:c>
      <x:c r="I32" s="38" t="n">
        <x:f>'Założenia'!I89*I$5</x:f>
        <x:v>4766.507284719655</x:v>
      </x:c>
      <x:c r="J32" s="38" t="n">
        <x:f>'Założenia'!J89*J$5</x:f>
        <x:v>5048.798154507898</x:v>
      </x:c>
      <x:c r="K32" s="38" t="n">
        <x:f>'Założenia'!K89*K$5</x:f>
        <x:v>5347.80737389801</x:v>
      </x:c>
      <x:c r="L32" s="38" t="n">
        <x:f>'Założenia'!L89*L$5</x:f>
        <x:v>5664.525067769411</x:v>
      </x:c>
      <x:c r="M32" s="38" t="n">
        <x:f>'Założenia'!M89*M$5</x:f>
        <x:v>6000</x:v>
      </x:c>
      <x:c r="N32" s="38" t="n">
        <x:f>'Założenia'!N89*N$5</x:f>
        <x:v>6227.34489333728</x:v>
      </x:c>
      <x:c r="O32" s="38" t="n">
        <x:f>'Założenia'!O89*O$5</x:f>
        <x:v>6463.304070095652</x:v>
      </x:c>
      <x:c r="P32" s="38" t="n">
        <x:f>'Założenia'!P89*P$5</x:f>
        <x:v>6708.203932499369</x:v>
      </x:c>
      <x:c r="Q32" s="38" t="n">
        <x:f>'Założenia'!Q89*Q$5</x:f>
        <x:v>6962.383250419169</x:v>
      </x:c>
      <x:c r="R32" s="38" t="n">
        <x:f>'Założenia'!R89*R$5</x:f>
        <x:v>7226.193629992471</x:v>
      </x:c>
      <x:c r="S32" s="38" t="n">
        <x:f>'Założenia'!S89*S$5</x:f>
        <x:v>7500</x:v>
      </x:c>
    </x:row>
    <x:row r="33" ht="23" customHeight="1">
      <x:c r="A33" s="3"/>
      <x:c r="B33" s="3"/>
      <x:c r="C33" s="45" t="str">
        <x:v>Space: przychody</x:v>
      </x:c>
      <x:c r="D33" s="46" t="n">
        <x:f>SUM(D31:D32)</x:f>
        <x:v>1717</x:v>
      </x:c>
      <x:c r="E33" s="46" t="n">
        <x:f>SUM(E31:E32)</x:f>
        <x:v>8058.162826841413</x:v>
      </x:c>
      <x:c r="F33" s="46" t="n">
        <x:f>SUM(F31:F32)</x:f>
        <x:v>9043.771552438324</x:v>
      </x:c>
      <x:c r="G33" s="46" t="n">
        <x:f>SUM(G31:G32)</x:f>
        <x:v>10213.953692385267</x:v>
      </x:c>
      <x:c r="H33" s="46" t="n">
        <x:f>SUM(H31:H32)</x:f>
        <x:v>11500</x:v>
      </x:c>
      <x:c r="I33" s="46" t="n">
        <x:f>SUM(I31:I32)</x:f>
        <x:v>12353.222611199955</x:v>
      </x:c>
      <x:c r="J33" s="46" t="n">
        <x:f>SUM(J31:J32)</x:f>
        <x:v>13271.405218086624</x:v>
      </x:c>
      <x:c r="K33" s="46" t="n">
        <x:f>SUM(K31:K32)</x:f>
        <x:v>14252.908813602597</x:v>
      </x:c>
      <x:c r="L33" s="46" t="n">
        <x:f>SUM(L31:L32)</x:f>
        <x:v>15296.229547961198</x:v>
      </x:c>
      <x:c r="M33" s="46" t="n">
        <x:f>SUM(M31:M32)</x:f>
        <x:v>16400</x:v>
      </x:c>
      <x:c r="N33" s="46" t="n">
        <x:f>SUM(N31:N32)</x:f>
        <x:v>16810.218675131604</x:v>
      </x:c>
      <x:c r="O33" s="46" t="n">
        <x:f>SUM(O31:O32)</x:f>
        <x:v>17285.667107076726</x:v>
      </x:c>
      <x:c r="P33" s="46" t="n">
        <x:f>SUM(P31:P32)</x:f>
        <x:v>17761.850389664534</x:v>
      </x:c>
      <x:c r="Q33" s="46" t="n">
        <x:f>SUM(Q31:Q32)</x:f>
        <x:v>18239.282720799907</x:v>
      </x:c>
      <x:c r="R33" s="46" t="n">
        <x:f>SUM(R31:R32)</x:f>
        <x:v>18718.487926200083</x:v>
      </x:c>
      <x:c r="S33" s="46" t="n">
        <x:f>SUM(S31:S32)</x:f>
        <x:v>19200</x:v>
      </x:c>
    </x:row>
    <x:row r="34" ht="20" customHeight="1">
      <x:c r="A34" s="3"/>
      <x:c r="B34" s="3"/>
      <x:c r="C34" s="10" t="str">
        <x:v>Marża cash przed R&amp;D i SG&amp;A</x:v>
      </x:c>
      <x:c r="D34" s="42" t="n">
        <x:f>'Założenia'!D101</x:f>
        <x:v>0.76</x:v>
      </x:c>
      <x:c r="E34" s="42" t="n">
        <x:f>'Założenia'!E101</x:f>
        <x:v>0.76</x:v>
      </x:c>
      <x:c r="F34" s="42" t="n">
        <x:f>'Założenia'!F101</x:f>
        <x:v>0.76</x:v>
      </x:c>
      <x:c r="G34" s="42" t="n">
        <x:f>'Założenia'!G101</x:f>
        <x:v>0.76</x:v>
      </x:c>
      <x:c r="H34" s="42" t="n">
        <x:f>'Założenia'!H101</x:f>
        <x:v>0.76</x:v>
      </x:c>
      <x:c r="I34" s="42" t="n">
        <x:f>'Założenia'!I101</x:f>
        <x:v>0.76</x:v>
      </x:c>
      <x:c r="J34" s="42" t="n">
        <x:f>'Założenia'!J101</x:f>
        <x:v>0.76</x:v>
      </x:c>
      <x:c r="K34" s="42" t="n">
        <x:f>'Założenia'!K101</x:f>
        <x:v>0.76</x:v>
      </x:c>
      <x:c r="L34" s="42" t="n">
        <x:f>'Założenia'!L101</x:f>
        <x:v>0.76</x:v>
      </x:c>
      <x:c r="M34" s="42" t="n">
        <x:f>'Założenia'!M101</x:f>
        <x:v>0.76</x:v>
      </x:c>
      <x:c r="N34" s="42" t="n">
        <x:f>'Założenia'!N101</x:f>
        <x:v>0.76</x:v>
      </x:c>
      <x:c r="O34" s="42" t="n">
        <x:f>'Założenia'!O101</x:f>
        <x:v>0.76</x:v>
      </x:c>
      <x:c r="P34" s="42" t="n">
        <x:f>'Założenia'!P101</x:f>
        <x:v>0.76</x:v>
      </x:c>
      <x:c r="Q34" s="42" t="n">
        <x:f>'Założenia'!Q101</x:f>
        <x:v>0.76</x:v>
      </x:c>
      <x:c r="R34" s="42" t="n">
        <x:f>'Założenia'!R101</x:f>
        <x:v>0.76</x:v>
      </x:c>
      <x:c r="S34" s="42" t="n">
        <x:f>'Założenia'!S101</x:f>
        <x:v>0.76</x:v>
      </x:c>
    </x:row>
    <x:row r="35" ht="20" customHeight="1">
      <x:c r="A35" s="3"/>
      <x:c r="B35" s="3"/>
      <x:c r="C35" s="10" t="str">
        <x:v>SG&amp;A / przychody</x:v>
      </x:c>
      <x:c r="D35" s="42" t="n">
        <x:f>'Założenia'!D145</x:f>
        <x:v>0.05</x:v>
      </x:c>
      <x:c r="E35" s="42" t="n">
        <x:f>'Założenia'!E145</x:f>
        <x:v>0.05</x:v>
      </x:c>
      <x:c r="F35" s="42" t="n">
        <x:f>'Założenia'!F145</x:f>
        <x:v>0.05</x:v>
      </x:c>
      <x:c r="G35" s="42" t="n">
        <x:f>'Założenia'!G145</x:f>
        <x:v>0.05</x:v>
      </x:c>
      <x:c r="H35" s="42" t="n">
        <x:f>'Założenia'!H145</x:f>
        <x:v>0.05</x:v>
      </x:c>
      <x:c r="I35" s="42" t="n">
        <x:f>'Założenia'!I145</x:f>
        <x:v>0.05</x:v>
      </x:c>
      <x:c r="J35" s="42" t="n">
        <x:f>'Założenia'!J145</x:f>
        <x:v>0.05</x:v>
      </x:c>
      <x:c r="K35" s="42" t="n">
        <x:f>'Założenia'!K145</x:f>
        <x:v>0.05</x:v>
      </x:c>
      <x:c r="L35" s="42" t="n">
        <x:f>'Założenia'!L145</x:f>
        <x:v>0.05</x:v>
      </x:c>
      <x:c r="M35" s="42" t="n">
        <x:f>'Założenia'!M145</x:f>
        <x:v>0.05</x:v>
      </x:c>
      <x:c r="N35" s="42" t="n">
        <x:f>'Założenia'!N145</x:f>
        <x:v>0.05</x:v>
      </x:c>
      <x:c r="O35" s="42" t="n">
        <x:f>'Założenia'!O145</x:f>
        <x:v>0.05</x:v>
      </x:c>
      <x:c r="P35" s="42" t="n">
        <x:f>'Założenia'!P145</x:f>
        <x:v>0.05</x:v>
      </x:c>
      <x:c r="Q35" s="42" t="n">
        <x:f>'Założenia'!Q145</x:f>
        <x:v>0.05</x:v>
      </x:c>
      <x:c r="R35" s="42" t="n">
        <x:f>'Założenia'!R145</x:f>
        <x:v>0.05</x:v>
      </x:c>
      <x:c r="S35" s="42" t="n">
        <x:f>'Założenia'!S145</x:f>
        <x:v>0.05</x:v>
      </x:c>
    </x:row>
    <x:row r="36" ht="20" customHeight="1">
      <x:c r="A36" s="3"/>
      <x:c r="B36" s="3"/>
      <x:c r="C36" s="3" t="str">
        <x:v>Gotówkowe R&amp;D</x:v>
      </x:c>
      <x:c r="D36" s="38" t="n">
        <x:f>'Założenia'!D93*D$5</x:f>
        <x:v>1250</x:v>
      </x:c>
      <x:c r="E36" s="38" t="n">
        <x:f>'Założenia'!E93*E$5</x:f>
        <x:v>5233.1756969605285</x:v>
      </x:c>
      <x:c r="F36" s="38" t="n">
        <x:f>'Założenia'!F93*F$5</x:f>
        <x:v>5477.225575051661</x:v>
      </x:c>
      <x:c r="G36" s="38" t="n">
        <x:f>'Założenia'!G93*G$5</x:f>
        <x:v>5732.656753226201</x:v>
      </x:c>
      <x:c r="H36" s="38" t="n">
        <x:f>'Założenia'!H93*H$5</x:f>
        <x:v>6000</x:v>
      </x:c>
      <x:c r="I36" s="38" t="n">
        <x:f>'Założenia'!I93*I$5</x:f>
        <x:v>6039.477090586008</x:v>
      </x:c>
      <x:c r="J36" s="38" t="n">
        <x:f>'Założenia'!J93*J$5</x:f>
        <x:v>6079.213921285537</x:v>
      </x:c>
      <x:c r="K36" s="38" t="n">
        <x:f>'Założenia'!K93*K$5</x:f>
        <x:v>6119.212201062588</x:v>
      </x:c>
      <x:c r="L36" s="38" t="n">
        <x:f>'Założenia'!L93*L$5</x:f>
        <x:v>6159.473650125313</x:v>
      </x:c>
      <x:c r="M36" s="38" t="n">
        <x:f>'Założenia'!M93*M$5</x:f>
        <x:v>6200.000000000001</x:v>
      </x:c>
      <x:c r="N36" s="38" t="n">
        <x:f>'Założenia'!N93*N$5</x:f>
        <x:v>6249.020758665851</x:v>
      </x:c>
      <x:c r="O36" s="38" t="n">
        <x:f>'Założenia'!O93*O$5</x:f>
        <x:v>6298.429103586569</x:v>
      </x:c>
      <x:c r="P36" s="38" t="n">
        <x:f>'Założenia'!P93*P$5</x:f>
        <x:v>6348.228099241551</x:v>
      </x:c>
      <x:c r="Q36" s="38" t="n">
        <x:f>'Założenia'!Q93*Q$5</x:f>
        <x:v>6398.420834339728</x:v>
      </x:c>
      <x:c r="R36" s="38" t="n">
        <x:f>'Założenia'!R93*R$5</x:f>
        <x:v>6449.010422011135</x:v>
      </x:c>
      <x:c r="S36" s="38" t="n">
        <x:f>'Założenia'!S93*S$5</x:f>
        <x:v>6500</x:v>
      </x:c>
    </x:row>
    <x:row r="37" ht="20" customHeight="1">
      <x:c r="A37" s="3"/>
      <x:c r="B37" s="3"/>
      <x:c r="C37" s="10" t="str">
        <x:v>SBC / przychody</x:v>
      </x:c>
      <x:c r="D37" s="42" t="n">
        <x:f>'Założenia'!D149</x:f>
        <x:v>0.07</x:v>
      </x:c>
      <x:c r="E37" s="42" t="n">
        <x:f>'Założenia'!E149</x:f>
        <x:v>0.07</x:v>
      </x:c>
      <x:c r="F37" s="42" t="n">
        <x:f>'Założenia'!F149</x:f>
        <x:v>0.07</x:v>
      </x:c>
      <x:c r="G37" s="42" t="n">
        <x:f>'Założenia'!G149</x:f>
        <x:v>0.07</x:v>
      </x:c>
      <x:c r="H37" s="42" t="n">
        <x:f>'Założenia'!H149</x:f>
        <x:v>0.07</x:v>
      </x:c>
      <x:c r="I37" s="42" t="n">
        <x:f>'Założenia'!I149</x:f>
        <x:v>0.07</x:v>
      </x:c>
      <x:c r="J37" s="42" t="n">
        <x:f>'Założenia'!J149</x:f>
        <x:v>0.07</x:v>
      </x:c>
      <x:c r="K37" s="42" t="n">
        <x:f>'Założenia'!K149</x:f>
        <x:v>0.07</x:v>
      </x:c>
      <x:c r="L37" s="42" t="n">
        <x:f>'Założenia'!L149</x:f>
        <x:v>0.07</x:v>
      </x:c>
      <x:c r="M37" s="42" t="n">
        <x:f>'Założenia'!M149</x:f>
        <x:v>0.07</x:v>
      </x:c>
      <x:c r="N37" s="42" t="n">
        <x:f>'Założenia'!N149</x:f>
        <x:v>0.07</x:v>
      </x:c>
      <x:c r="O37" s="42" t="n">
        <x:f>'Założenia'!O149</x:f>
        <x:v>0.07</x:v>
      </x:c>
      <x:c r="P37" s="42" t="n">
        <x:f>'Założenia'!P149</x:f>
        <x:v>0.07</x:v>
      </x:c>
      <x:c r="Q37" s="42" t="n">
        <x:f>'Założenia'!Q149</x:f>
        <x:v>0.07</x:v>
      </x:c>
      <x:c r="R37" s="42" t="n">
        <x:f>'Założenia'!R149</x:f>
        <x:v>0.07</x:v>
      </x:c>
      <x:c r="S37" s="42" t="n">
        <x:f>'Założenia'!S149</x:f>
        <x:v>0.07</x:v>
      </x:c>
    </x:row>
    <x:row r="38" ht="20" customHeight="1">
      <x:c r="A38" s="3"/>
      <x:c r="B38" s="3"/>
      <x:c r="C38" s="3" t="str">
        <x:v>Koszt SBC</x:v>
      </x:c>
      <x:c r="D38" s="40" t="n">
        <x:f>D33*D37</x:f>
        <x:v>120.19000000000001</x:v>
      </x:c>
      <x:c r="E38" s="40" t="n">
        <x:f>E33*E37</x:f>
        <x:v>564.071397878899</x:v>
      </x:c>
      <x:c r="F38" s="40" t="n">
        <x:f>F33*F37</x:f>
        <x:v>633.0640086706827</x:v>
      </x:c>
      <x:c r="G38" s="40" t="n">
        <x:f>G33*G37</x:f>
        <x:v>714.9767584669687</x:v>
      </x:c>
      <x:c r="H38" s="40" t="n">
        <x:f>H33*H37</x:f>
        <x:v>805.0000000000001</x:v>
      </x:c>
      <x:c r="I38" s="40" t="n">
        <x:f>I33*I37</x:f>
        <x:v>864.725582783997</x:v>
      </x:c>
      <x:c r="J38" s="40" t="n">
        <x:f>J33*J37</x:f>
        <x:v>928.9983652660637</x:v>
      </x:c>
      <x:c r="K38" s="40" t="n">
        <x:f>K33*K37</x:f>
        <x:v>997.7036169521818</x:v>
      </x:c>
      <x:c r="L38" s="40" t="n">
        <x:f>L33*L37</x:f>
        <x:v>1070.736068357284</x:v>
      </x:c>
      <x:c r="M38" s="40" t="n">
        <x:f>M33*M37</x:f>
        <x:v>1148</x:v>
      </x:c>
      <x:c r="N38" s="40" t="n">
        <x:f>N33*N37</x:f>
        <x:v>1176.7153072592123</x:v>
      </x:c>
      <x:c r="O38" s="40" t="n">
        <x:f>O33*O37</x:f>
        <x:v>1209.9966974953709</x:v>
      </x:c>
      <x:c r="P38" s="40" t="n">
        <x:f>P33*P37</x:f>
        <x:v>1243.3295272765174</x:v>
      </x:c>
      <x:c r="Q38" s="40" t="n">
        <x:f>Q33*Q37</x:f>
        <x:v>1276.7497904559937</x:v>
      </x:c>
      <x:c r="R38" s="40" t="n">
        <x:f>R33*R37</x:f>
        <x:v>1310.294154834006</x:v>
      </x:c>
      <x:c r="S38" s="40" t="n">
        <x:f>S33*S37</x:f>
        <x:v>1344.0000000000002</x:v>
      </x:c>
    </x:row>
    <x:row r="39" ht="23" customHeight="1">
      <x:c r="A39" s="3"/>
      <x:c r="B39" s="3"/>
      <x:c r="C39" s="45" t="str">
        <x:v>Space: EBITDA po SBC i R&amp;D</x:v>
      </x:c>
      <x:c r="D39" s="46" t="n">
        <x:f>D33*(D34-D35)-D36-D38</x:f>
        <x:v>-151.12000000000006</x:v>
      </x:c>
      <x:c r="E39" s="46" t="n">
        <x:f>E33*(E34-E35)-E36-E38</x:f>
        <x:v>-75.95148778202474</x:v>
      </x:c>
      <x:c r="F39" s="46" t="n">
        <x:f>F33*(F34-F35)-F36-F38</x:f>
        <x:v>310.7882185088664</x:v>
      </x:c>
      <x:c r="G39" s="46" t="n">
        <x:f>G33*(G34-G35)-G36-G38</x:f>
        <x:v>804.2736099003698</x:v>
      </x:c>
      <x:c r="H39" s="46" t="n">
        <x:f>H33*(H34-H35)-H36-H38</x:f>
        <x:v>1360</x:v>
      </x:c>
      <x:c r="I39" s="46" t="n">
        <x:f>I33*(I34-I35)-I36-I38</x:f>
        <x:v>1866.5853805819636</x:v>
      </x:c>
      <x:c r="J39" s="46" t="n">
        <x:f>J33*(J34-J35)-J36-J38</x:f>
        <x:v>2414.4854182899016</x:v>
      </x:c>
      <x:c r="K39" s="46" t="n">
        <x:f>K33*(K34-K35)-K36-K38</x:f>
        <x:v>3002.6494396430735</x:v>
      </x:c>
      <x:c r="L39" s="46" t="n">
        <x:f>L33*(L34-L35)-L36-L38</x:f>
        <x:v>3630.113260569854</x:v>
      </x:c>
      <x:c r="M39" s="46" t="n">
        <x:f>M33*(M34-M35)-M36-M38</x:f>
        <x:v>4295.999999999999</x:v>
      </x:c>
      <x:c r="N39" s="46" t="n">
        <x:f>N33*(N34-N35)-N36-N38</x:f>
        <x:v>4509.519193418375</x:v>
      </x:c>
      <x:c r="O39" s="46" t="n">
        <x:f>O33*(O34-O35)-O36-O38</x:f>
        <x:v>4764.397844942536</x:v>
      </x:c>
      <x:c r="P39" s="46" t="n">
        <x:f>P33*(P34-P35)-P36-P38</x:f>
        <x:v>5019.356150143751</x:v>
      </x:c>
      <x:c r="Q39" s="46" t="n">
        <x:f>Q33*(Q34-Q35)-Q36-Q38</x:f>
        <x:v>5274.720106972212</x:v>
      </x:c>
      <x:c r="R39" s="46" t="n">
        <x:f>R33*(R34-R35)-R36-R38</x:f>
        <x:v>5530.821850756918</x:v>
      </x:c>
      <x:c r="S39" s="46" t="n">
        <x:f>S33*(S34-S35)-S36-S38</x:f>
        <x:v>5788</x:v>
      </x:c>
    </x:row>
    <x:row r="40" ht="23" customHeight="1">
      <x:c r="A40" s="3"/>
      <x:c r="B40" s="3"/>
      <x:c r="C40" s="45" t="str">
        <x:v>Space: capex</x:v>
      </x:c>
      <x:c r="D40" s="48" t="n">
        <x:f>'Założenia'!D97*D$5</x:f>
        <x:v>1250</x:v>
      </x:c>
      <x:c r="E40" s="48" t="n">
        <x:f>'Założenia'!E97*E$5</x:f>
        <x:v>4728.708045015879</x:v>
      </x:c>
      <x:c r="F40" s="48" t="n">
        <x:f>'Założenia'!F97*F$5</x:f>
        <x:v>4472.13595499958</x:v>
      </x:c>
      <x:c r="G40" s="48" t="n">
        <x:f>'Założenia'!G97*G$5</x:f>
        <x:v>4229.485053762257</x:v>
      </x:c>
      <x:c r="H40" s="48" t="n">
        <x:f>'Założenia'!H97*H$5</x:f>
        <x:v>4000</x:v>
      </x:c>
      <x:c r="I40" s="48" t="n">
        <x:f>'Założenia'!I97*I$5</x:f>
        <x:v>3894.588722460672</x:v>
      </x:c>
      <x:c r="J40" s="48" t="n">
        <x:f>'Założenia'!J97*J$5</x:f>
        <x:v>3791.9553292794635</x:v>
      </x:c>
      <x:c r="K40" s="48" t="n">
        <x:f>'Założenia'!K97*K$5</x:f>
        <x:v>3692.026615371611</x:v>
      </x:c>
      <x:c r="L40" s="48" t="n">
        <x:f>'Założenia'!L97*L$5</x:f>
        <x:v>3594.7313048127307</x:v>
      </x:c>
      <x:c r="M40" s="48" t="n">
        <x:f>'Założenia'!M97*M$5</x:f>
        <x:v>3500</x:v>
      </x:c>
      <x:c r="N40" s="48" t="n">
        <x:f>'Założenia'!N97*N$5</x:f>
        <x:v>3448.1146682923227</x:v>
      </x:c>
      <x:c r="O40" s="48" t="n">
        <x:f>'Założenia'!O97*O$5</x:f>
        <x:v>3396.998504483621</x:v>
      </x:c>
      <x:c r="P40" s="48" t="n">
        <x:f>'Założenia'!P97*P$5</x:f>
        <x:v>3346.640106136302</x:v>
      </x:c>
      <x:c r="Q40" s="48" t="n">
        <x:f>'Założenia'!Q97*Q$5</x:f>
        <x:v>3297.0282398468457</x:v>
      </x:c>
      <x:c r="R40" s="48" t="n">
        <x:f>'Założenia'!R97*R$5</x:f>
        <x:v>3248.1518387399788</x:v>
      </x:c>
      <x:c r="S40" s="48" t="n">
        <x:f>'Założenia'!S97*S$5</x:f>
        <x:v>3200</x:v>
      </x:c>
    </x:row>
    <x:row r="41" ht="20" customHeight="1">
      <x:c r="A41" s="3"/>
      <x:c r="B41" s="3"/>
      <x:c r="C41" s="3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  <x:c r="P41" s="14"/>
      <x:c r="Q41" s="14"/>
      <x:c r="R41" s="14"/>
      <x:c r="S41" s="14"/>
    </x:row>
    <x:row r="42" ht="23" customHeight="1">
      <x:c r="A42" s="3"/>
      <x:c r="B42" s="3"/>
      <x:c r="C42" s="17" t="str">
        <x:v>Super Intelligence</x:v>
      </x:c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</x:row>
    <x:row r="43" ht="20" customHeight="1">
      <x:c r="A43" s="3"/>
      <x:c r="B43" s="3"/>
      <x:c r="C43" s="3" t="str">
        <x:v>Moc na początek (GW)</x:v>
      </x:c>
      <x:c r="D43" s="38" t="n">
        <x:f>'Założenia'!$D$175</x:f>
        <x:v>1.7</x:v>
      </x:c>
      <x:c r="E43" s="40" t="n">
        <x:f>D44</x:f>
        <x:v>2.5</x:v>
      </x:c>
      <x:c r="F43" s="40" t="n">
        <x:f>E44</x:f>
        <x:v>3.8458028365672936</x:v>
      </x:c>
      <x:c r="G43" s="40" t="n">
        <x:f>F44</x:f>
        <x:v>5.916079783099616</x:v>
      </x:c>
      <x:c r="H43" s="40" t="n">
        <x:f>G44</x:f>
        <x:v>9.100830564481168</x:v>
      </x:c>
      <x:c r="I43" s="40" t="n">
        <x:f>H44</x:f>
        <x:v>14</x:v>
      </x:c>
      <x:c r="J43" s="40" t="n">
        <x:f>I44</x:f>
        <x:v>15.845177118834025</x:v>
      </x:c>
      <x:c r="K43" s="40" t="n">
        <x:f>J44</x:f>
        <x:v>17.933545566230098</x:v>
      </x:c>
      <x:c r="L43" s="40" t="n">
        <x:f>K44</x:f>
        <x:v>20.297157561828325</x:v>
      </x:c>
      <x:c r="M43" s="40" t="n">
        <x:f>L44</x:f>
        <x:v>22.972289755432225</x:v>
      </x:c>
      <x:c r="N43" s="40" t="n">
        <x:f>M44</x:f>
        <x:v>26</x:v>
      </x:c>
      <x:c r="O43" s="40" t="n">
        <x:f>N44</x:f>
        <x:v>27.320530666016584</x:v>
      </x:c>
      <x:c r="P43" s="40" t="n">
        <x:f>O44</x:f>
        <x:v>28.708130610490482</x:v>
      </x:c>
      <x:c r="Q43" s="40" t="n">
        <x:f>P44</x:f>
        <x:v>30.166206257996713</x:v>
      </x:c>
      <x:c r="R43" s="40" t="n">
        <x:f>Q44</x:f>
        <x:v>31.698337044191558</x:v>
      </x:c>
      <x:c r="S43" s="40" t="n">
        <x:f>R44</x:f>
        <x:v>33.308284202983266</x:v>
      </x:c>
    </x:row>
    <x:row r="44" ht="20" customHeight="1">
      <x:c r="A44" s="3"/>
      <x:c r="B44" s="3"/>
      <x:c r="C44" s="3" t="str">
        <x:v>Moc na koniec (GW)</x:v>
      </x:c>
      <x:c r="D44" s="38" t="n">
        <x:f>'Założenia'!D105</x:f>
        <x:v>2.5</x:v>
      </x:c>
      <x:c r="E44" s="38" t="n">
        <x:f>'Założenia'!E105</x:f>
        <x:v>3.8458028365672936</x:v>
      </x:c>
      <x:c r="F44" s="38" t="n">
        <x:f>'Założenia'!F105</x:f>
        <x:v>5.916079783099616</x:v>
      </x:c>
      <x:c r="G44" s="38" t="n">
        <x:f>'Założenia'!G105</x:f>
        <x:v>9.100830564481168</x:v>
      </x:c>
      <x:c r="H44" s="38" t="n">
        <x:f>'Założenia'!H105</x:f>
        <x:v>14</x:v>
      </x:c>
      <x:c r="I44" s="38" t="n">
        <x:f>'Założenia'!I105</x:f>
        <x:v>15.845177118834025</x:v>
      </x:c>
      <x:c r="J44" s="38" t="n">
        <x:f>'Założenia'!J105</x:f>
        <x:v>17.933545566230098</x:v>
      </x:c>
      <x:c r="K44" s="38" t="n">
        <x:f>'Założenia'!K105</x:f>
        <x:v>20.297157561828325</x:v>
      </x:c>
      <x:c r="L44" s="38" t="n">
        <x:f>'Założenia'!L105</x:f>
        <x:v>22.972289755432225</x:v>
      </x:c>
      <x:c r="M44" s="38" t="n">
        <x:f>'Założenia'!M105</x:f>
        <x:v>26</x:v>
      </x:c>
      <x:c r="N44" s="38" t="n">
        <x:f>'Założenia'!N105</x:f>
        <x:v>27.320530666016584</x:v>
      </x:c>
      <x:c r="O44" s="38" t="n">
        <x:f>'Założenia'!O105</x:f>
        <x:v>28.708130610490482</x:v>
      </x:c>
      <x:c r="P44" s="38" t="n">
        <x:f>'Założenia'!P105</x:f>
        <x:v>30.166206257996713</x:v>
      </x:c>
      <x:c r="Q44" s="38" t="n">
        <x:f>'Założenia'!Q105</x:f>
        <x:v>31.698337044191558</x:v>
      </x:c>
      <x:c r="R44" s="38" t="n">
        <x:f>'Założenia'!R105</x:f>
        <x:v>33.308284202983266</x:v>
      </x:c>
      <x:c r="S44" s="38" t="n">
        <x:f>'Założenia'!S105</x:f>
        <x:v>35</x:v>
      </x:c>
    </x:row>
    <x:row r="45" ht="20" customHeight="1">
      <x:c r="A45" s="3"/>
      <x:c r="B45" s="3"/>
      <x:c r="C45" s="3" t="str">
        <x:v>Średnia moc (GW)</x:v>
      </x:c>
      <x:c r="D45" s="40" t="n">
        <x:f>AVERAGE(D43:D44)</x:f>
        <x:v>2.1</x:v>
      </x:c>
      <x:c r="E45" s="40" t="n">
        <x:f>AVERAGE(E43:E44)</x:f>
        <x:v>3.172901418283647</x:v>
      </x:c>
      <x:c r="F45" s="40" t="n">
        <x:f>AVERAGE(F43:F44)</x:f>
        <x:v>4.880941309833455</x:v>
      </x:c>
      <x:c r="G45" s="40" t="n">
        <x:f>AVERAGE(G43:G44)</x:f>
        <x:v>7.5084551737903915</x:v>
      </x:c>
      <x:c r="H45" s="40" t="n">
        <x:f>AVERAGE(H43:H44)</x:f>
        <x:v>11.550415282240584</x:v>
      </x:c>
      <x:c r="I45" s="40" t="n">
        <x:f>AVERAGE(I43:I44)</x:f>
        <x:v>14.922588559417012</x:v>
      </x:c>
      <x:c r="J45" s="40" t="n">
        <x:f>AVERAGE(J43:J44)</x:f>
        <x:v>16.889361342532062</x:v>
      </x:c>
      <x:c r="K45" s="40" t="n">
        <x:f>AVERAGE(K43:K44)</x:f>
        <x:v>19.11535156402921</x:v>
      </x:c>
      <x:c r="L45" s="40" t="n">
        <x:f>AVERAGE(L43:L44)</x:f>
        <x:v>21.634723658630275</x:v>
      </x:c>
      <x:c r="M45" s="40" t="n">
        <x:f>AVERAGE(M43:M44)</x:f>
        <x:v>24.486144877716114</x:v>
      </x:c>
      <x:c r="N45" s="40" t="n">
        <x:f>AVERAGE(N43:N44)</x:f>
        <x:v>26.66026533300829</x:v>
      </x:c>
      <x:c r="O45" s="40" t="n">
        <x:f>AVERAGE(O43:O44)</x:f>
        <x:v>28.014330638253533</x:v>
      </x:c>
      <x:c r="P45" s="40" t="n">
        <x:f>AVERAGE(P43:P44)</x:f>
        <x:v>29.437168434243596</x:v>
      </x:c>
      <x:c r="Q45" s="40" t="n">
        <x:f>AVERAGE(Q43:Q44)</x:f>
        <x:v>30.932271651094133</x:v>
      </x:c>
      <x:c r="R45" s="40" t="n">
        <x:f>AVERAGE(R43:R44)</x:f>
        <x:v>32.50331062358741</x:v>
      </x:c>
      <x:c r="S45" s="40" t="n">
        <x:f>AVERAGE(S43:S44)</x:f>
        <x:v>34.15414210149163</x:v>
      </x:c>
    </x:row>
    <x:row r="46" ht="20" customHeight="1">
      <x:c r="A46" s="3"/>
      <x:c r="B46" s="3"/>
      <x:c r="C46" s="10" t="str">
        <x:v>Wykorzystanie mocy</x:v>
      </x:c>
      <x:c r="D46" s="42" t="n">
        <x:f>'Założenia'!D109</x:f>
        <x:v>0.8</x:v>
      </x:c>
      <x:c r="E46" s="42" t="n">
        <x:f>'Założenia'!E109</x:f>
        <x:v>0.804953797060509</x:v>
      </x:c>
      <x:c r="F46" s="42" t="n">
        <x:f>'Założenia'!F109</x:f>
        <x:v>0.8099382692526634</x:v>
      </x:c>
      <x:c r="G46" s="42" t="n">
        <x:f>'Założenia'!G109</x:f>
        <x:v>0.8149536065244352</x:v>
      </x:c>
      <x:c r="H46" s="42" t="n">
        <x:f>'Założenia'!H109</x:f>
        <x:v>0.82</x:v>
      </x:c>
      <x:c r="I46" s="42" t="n">
        <x:f>'Założenia'!I109</x:f>
        <x:v>0.8259140745187248</x:v>
      </x:c>
      <x:c r="J46" s="42" t="n">
        <x:f>'Założenia'!J109</x:f>
        <x:v>0.8318708030342948</x:v>
      </x:c>
      <x:c r="K46" s="42" t="n">
        <x:f>'Założenia'!K109</x:f>
        <x:v>0.8378704931795344</x:v>
      </x:c>
      <x:c r="L46" s="42" t="n">
        <x:f>'Założenia'!L109</x:f>
        <x:v>0.8439134548060033</x:v>
      </x:c>
      <x:c r="M46" s="42" t="n">
        <x:f>'Założenia'!M109</x:f>
        <x:v>0.85</x:v>
      </x:c>
      <x:c r="N46" s="42" t="n">
        <x:f>'Założenia'!N109</x:f>
        <x:v>0.85</x:v>
      </x:c>
      <x:c r="O46" s="42" t="n">
        <x:f>'Założenia'!O109</x:f>
        <x:v>0.85</x:v>
      </x:c>
      <x:c r="P46" s="42" t="n">
        <x:f>'Założenia'!P109</x:f>
        <x:v>0.85</x:v>
      </x:c>
      <x:c r="Q46" s="42" t="n">
        <x:f>'Założenia'!Q109</x:f>
        <x:v>0.85</x:v>
      </x:c>
      <x:c r="R46" s="42" t="n">
        <x:f>'Założenia'!R109</x:f>
        <x:v>0.85</x:v>
      </x:c>
      <x:c r="S46" s="42" t="n">
        <x:f>'Założenia'!S109</x:f>
        <x:v>0.85</x:v>
      </x:c>
    </x:row>
    <x:row r="47" ht="20" customHeight="1">
      <x:c r="A47" s="3"/>
      <x:c r="B47" s="3"/>
      <x:c r="C47" s="3" t="str">
        <x:v>Przychód (USD mln/GW/rok)</x:v>
      </x:c>
      <x:c r="D47" s="38" t="n">
        <x:f>'Założenia'!D113</x:f>
        <x:v>18000</x:v>
      </x:c>
      <x:c r="E47" s="38" t="n">
        <x:f>'Założenia'!E113</x:f>
        <x:v>17612.676767404024</x:v>
      </x:c>
      <x:c r="F47" s="38" t="n">
        <x:f>'Założenia'!F113</x:f>
        <x:v>17233.687939614087</x:v>
      </x:c>
      <x:c r="G47" s="38" t="n">
        <x:f>'Założenia'!G113</x:f>
        <x:v>16862.85417726289</x:v>
      </x:c>
      <x:c r="H47" s="38" t="n">
        <x:f>'Założenia'!H113</x:f>
        <x:v>16500</x:v>
      </x:c>
      <x:c r="I47" s="38" t="n">
        <x:f>'Założenia'!I113</x:f>
        <x:v>16079.06370268435</x:v>
      </x:c>
      <x:c r="J47" s="38" t="n">
        <x:f>'Założenia'!J113</x:f>
        <x:v>15668.866033635233</x:v>
      </x:c>
      <x:c r="K47" s="38" t="n">
        <x:f>'Założenia'!K113</x:f>
        <x:v>15269.133036584726</x:v>
      </x:c>
      <x:c r="L47" s="38" t="n">
        <x:f>'Założenia'!L113</x:f>
        <x:v>14879.597744242903</x:v>
      </x:c>
      <x:c r="M47" s="38" t="n">
        <x:f>'Założenia'!M113</x:f>
        <x:v>14500</x:v>
      </x:c>
      <x:c r="N47" s="38" t="n">
        <x:f>'Założenia'!N113</x:f>
        <x:v>14238.488667233873</x:v>
      </x:c>
      <x:c r="O47" s="38" t="n">
        <x:f>'Założenia'!O113</x:f>
        <x:v>13981.693760479135</x:v>
      </x:c>
      <x:c r="P47" s="38" t="n">
        <x:f>'Założenia'!P113</x:f>
        <x:v>13729.53021774598</x:v>
      </x:c>
      <x:c r="Q47" s="38" t="n">
        <x:f>'Założenia'!Q113</x:f>
        <x:v>13481.914511160081</x:v>
      </x:c>
      <x:c r="R47" s="38" t="n">
        <x:f>'Założenia'!R113</x:f>
        <x:v>13238.764619294394</x:v>
      </x:c>
      <x:c r="S47" s="38" t="n">
        <x:f>'Założenia'!S113</x:f>
        <x:v>13000</x:v>
      </x:c>
    </x:row>
    <x:row r="48" ht="20" customHeight="1">
      <x:c r="A48" s="3"/>
      <x:c r="B48" s="3"/>
      <x:c r="C48" s="3" t="str">
        <x:v>Chmura: przychody</x:v>
      </x:c>
      <x:c r="D48" s="40" t="n">
        <x:f>D45*D46*D47*D$5</x:f>
        <x:v>7560.000000000001</x:v>
      </x:c>
      <x:c r="E48" s="40" t="n">
        <x:f>E45*E46*E47*E$5</x:f>
        <x:v>44983.464139397256</x:v>
      </x:c>
      <x:c r="F48" s="40" t="n">
        <x:f>F45*F46*F47*F$5</x:f>
        <x:v>68129.26912026713</x:v>
      </x:c>
      <x:c r="G48" s="40" t="n">
        <x:f>G45*G46*G47*G$5</x:f>
        <x:v>103184.52346129112</x:v>
      </x:c>
      <x:c r="H48" s="40" t="n">
        <x:f>H45*H46*H47*H$5</x:f>
        <x:v>156277.1187687151</x:v>
      </x:c>
      <x:c r="I48" s="40" t="n">
        <x:f>I45*I46*I47*I$5</x:f>
        <x:v>198170.85713054237</x:v>
      </x:c>
      <x:c r="J48" s="40" t="n">
        <x:f>J45*J46*J47*J$5</x:f>
        <x:v>220143.9103889317</x:v>
      </x:c>
      <x:c r="K48" s="40" t="n">
        <x:f>K45*K46*K47*K$5</x:f>
        <x:v>244553.32122525678</x:v>
      </x:c>
      <x:c r="L48" s="40" t="n">
        <x:f>L45*L46*L47*L$5</x:f>
        <x:v>271669.2313525403</x:v>
      </x:c>
      <x:c r="M48" s="40" t="n">
        <x:f>M45*M46*M47*M$5</x:f>
        <x:v>301791.7356178511</x:v>
      </x:c>
      <x:c r="N48" s="40" t="n">
        <x:f>N45*N46*N47*N$5</x:f>
        <x:v>322661.6029380636</x:v>
      </x:c>
      <x:c r="O48" s="40" t="n">
        <x:f>O45*O46*O47*O$5</x:f>
        <x:v>332934.62310553854</x:v>
      </x:c>
      <x:c r="P48" s="40" t="n">
        <x:f>P45*P46*P47*P$5</x:f>
        <x:v>343534.7195114017</x:v>
      </x:c>
      <x:c r="Q48" s="40" t="n">
        <x:f>Q45*Q46*Q47*Q$5</x:f>
        <x:v>354472.30573062686</x:v>
      </x:c>
      <x:c r="R48" s="40" t="n">
        <x:f>R45*R46*R47*R$5</x:f>
        <x:v>365758.1268894619</x:v>
      </x:c>
      <x:c r="S48" s="40" t="n">
        <x:f>S45*S46*S47*S$5</x:f>
        <x:v>377403.2702214825</x:v>
      </x:c>
    </x:row>
    <x:row r="49" ht="20" customHeight="1">
      <x:c r="A49" s="3"/>
      <x:c r="B49" s="3"/>
      <x:c r="C49" s="3" t="str">
        <x:v>Aplikacje AI: przychody</x:v>
      </x:c>
      <x:c r="D49" s="38" t="n">
        <x:f>'Założenia'!D121*D$5</x:f>
        <x:v>2000</x:v>
      </x:c>
      <x:c r="E49" s="38" t="n">
        <x:f>'Założenia'!E121*E$5</x:f>
        <x:v>10417.162748560871</x:v>
      </x:c>
      <x:c r="F49" s="38" t="n">
        <x:f>'Założenia'!F121*F$5</x:f>
        <x:v>13564.659966250536</x:v>
      </x:c>
      <x:c r="G49" s="38" t="n">
        <x:f>'Założenia'!G121*G$5</x:f>
        <x:v>17663.15881216501</x:v>
      </x:c>
      <x:c r="H49" s="38" t="n">
        <x:f>'Założenia'!H121*H$5</x:f>
        <x:v>23000</x:v>
      </x:c>
      <x:c r="I49" s="38" t="n">
        <x:f>'Założenia'!I121*I$5</x:f>
        <x:v>26304.180230985807</x:v>
      </x:c>
      <x:c r="J49" s="38" t="n">
        <x:f>'Założenia'!J121*J$5</x:f>
        <x:v>30083.039027138453</x:v>
      </x:c>
      <x:c r="K49" s="38" t="n">
        <x:f>'Założenia'!K121*K$5</x:f>
        <x:v>34404.76871589694</x:v>
      </x:c>
      <x:c r="L49" s="38" t="n">
        <x:f>'Założenia'!L121*L$5</x:f>
        <x:v>39347.35813514502</x:v>
      </x:c>
      <x:c r="M49" s="38" t="n">
        <x:f>'Założenia'!M121*M$5</x:f>
        <x:v>45000</x:v>
      </x:c>
      <x:c r="N49" s="38" t="n">
        <x:f>'Założenia'!N121*N$5</x:f>
        <x:v>47844.20261677022</x:v>
      </x:c>
      <x:c r="O49" s="38" t="n">
        <x:f>'Założenia'!O121*O$5</x:f>
        <x:v>50868.1716452125</x:v>
      </x:c>
      <x:c r="P49" s="38" t="n">
        <x:f>'Założenia'!P121*P$5</x:f>
        <x:v>54083.26913195984</x:v>
      </x:c>
      <x:c r="Q49" s="38" t="n">
        <x:f>'Założenia'!Q121*Q$5</x:f>
        <x:v>57501.57525615113</x:v>
      </x:c>
      <x:c r="R49" s="38" t="n">
        <x:f>'Założenia'!R121*R$5</x:f>
        <x:v>61135.933718639026</x:v>
      </x:c>
      <x:c r="S49" s="38" t="n">
        <x:f>'Założenia'!S121*S$5</x:f>
        <x:v>65000</x:v>
      </x:c>
    </x:row>
    <x:row r="50" ht="20" customHeight="1">
      <x:c r="A50" s="3"/>
      <x:c r="B50" s="3"/>
      <x:c r="C50" s="3" t="str">
        <x:v>Reklama: przychody</x:v>
      </x:c>
      <x:c r="D50" s="38" t="n">
        <x:f>'Założenia'!D125*D$5</x:f>
        <x:v>600</x:v>
      </x:c>
      <x:c r="E50" s="38" t="n">
        <x:f>'Założenia'!E125*E$5</x:f>
        <x:v>2537.691032257354</x:v>
      </x:c>
      <x:c r="F50" s="38" t="n">
        <x:f>'Założenia'!F125*F$5</x:f>
        <x:v>2683.281572999748</x:v>
      </x:c>
      <x:c r="G50" s="38" t="n">
        <x:f>'Założenia'!G125*G$5</x:f>
        <x:v>2837.2248270095274</x:v>
      </x:c>
      <x:c r="H50" s="38" t="n">
        <x:f>'Założenia'!H125*H$5</x:f>
        <x:v>3000</x:v>
      </x:c>
      <x:c r="I50" s="38" t="n">
        <x:f>'Założenia'!I125*I$5</x:f>
        <x:v>3177.6715231464364</x:v>
      </x:c>
      <x:c r="J50" s="38" t="n">
        <x:f>'Założenia'!J125*J$5</x:f>
        <x:v>3365.8654363385986</x:v>
      </x:c>
      <x:c r="K50" s="38" t="n">
        <x:f>'Założenia'!K125*K$5</x:f>
        <x:v>3565.2049159320063</x:v>
      </x:c>
      <x:c r="L50" s="38" t="n">
        <x:f>'Założenia'!L125*L$5</x:f>
        <x:v>3776.3500451796076</x:v>
      </x:c>
      <x:c r="M50" s="38" t="n">
        <x:f>'Założenia'!M125*M$5</x:f>
        <x:v>4000</x:v>
      </x:c>
      <x:c r="N50" s="38" t="n">
        <x:f>'Założenia'!N125*N$5</x:f>
        <x:v>4151.563262224854</x:v>
      </x:c>
      <x:c r="O50" s="38" t="n">
        <x:f>'Założenia'!O125*O$5</x:f>
        <x:v>4308.8693800637675</x:v>
      </x:c>
      <x:c r="P50" s="38" t="n">
        <x:f>'Założenia'!P125*P$5</x:f>
        <x:v>4472.13595499958</x:v>
      </x:c>
      <x:c r="Q50" s="38" t="n">
        <x:f>'Założenia'!Q125*Q$5</x:f>
        <x:v>4641.588833612779</x:v>
      </x:c>
      <x:c r="R50" s="38" t="n">
        <x:f>'Założenia'!R125*R$5</x:f>
        <x:v>4817.462419994981</x:v>
      </x:c>
      <x:c r="S50" s="38" t="n">
        <x:f>'Założenia'!S125*S$5</x:f>
        <x:v>5000</x:v>
      </x:c>
    </x:row>
    <x:row r="51" ht="23" customHeight="1">
      <x:c r="A51" s="3"/>
      <x:c r="B51" s="3"/>
      <x:c r="C51" s="45" t="str">
        <x:v>SI: przychody</x:v>
      </x:c>
      <x:c r="D51" s="46" t="n">
        <x:f>SUM(D48:D50)</x:f>
        <x:v>10160</x:v>
      </x:c>
      <x:c r="E51" s="46" t="n">
        <x:f>SUM(E48:E50)</x:f>
        <x:v>57938.31792021548</x:v>
      </x:c>
      <x:c r="F51" s="46" t="n">
        <x:f>SUM(F48:F50)</x:f>
        <x:v>84377.21065951741</x:v>
      </x:c>
      <x:c r="G51" s="46" t="n">
        <x:f>SUM(G48:G50)</x:f>
        <x:v>123684.90710046566</x:v>
      </x:c>
      <x:c r="H51" s="46" t="n">
        <x:f>SUM(H48:H50)</x:f>
        <x:v>182277.1187687151</x:v>
      </x:c>
      <x:c r="I51" s="46" t="n">
        <x:f>SUM(I48:I50)</x:f>
        <x:v>227652.70888467462</x:v>
      </x:c>
      <x:c r="J51" s="46" t="n">
        <x:f>SUM(J48:J50)</x:f>
        <x:v>253592.81485240872</x:v>
      </x:c>
      <x:c r="K51" s="46" t="n">
        <x:f>SUM(K48:K50)</x:f>
        <x:v>282523.29485708574</x:v>
      </x:c>
      <x:c r="L51" s="46" t="n">
        <x:f>SUM(L48:L50)</x:f>
        <x:v>314792.93953286496</x:v>
      </x:c>
      <x:c r="M51" s="46" t="n">
        <x:f>SUM(M48:M50)</x:f>
        <x:v>350791.7356178511</x:v>
      </x:c>
      <x:c r="N51" s="46" t="n">
        <x:f>SUM(N48:N50)</x:f>
        <x:v>374657.3688170587</x:v>
      </x:c>
      <x:c r="O51" s="46" t="n">
        <x:f>SUM(O48:O50)</x:f>
        <x:v>388111.66413081484</x:v>
      </x:c>
      <x:c r="P51" s="46" t="n">
        <x:f>SUM(P48:P50)</x:f>
        <x:v>402090.12459836114</x:v>
      </x:c>
      <x:c r="Q51" s="46" t="n">
        <x:f>SUM(Q48:Q50)</x:f>
        <x:v>416615.4698203908</x:v>
      </x:c>
      <x:c r="R51" s="46" t="n">
        <x:f>SUM(R48:R50)</x:f>
        <x:v>431711.5230280959</x:v>
      </x:c>
      <x:c r="S51" s="46" t="n">
        <x:f>SUM(S48:S50)</x:f>
        <x:v>447403.2702214825</x:v>
      </x:c>
    </x:row>
    <x:row r="52" ht="20" customHeight="1">
      <x:c r="A52" s="3"/>
      <x:c r="B52" s="3"/>
      <x:c r="C52" s="10" t="str">
        <x:v>Marża cash chmury przed SBC</x:v>
      </x:c>
      <x:c r="D52" s="42" t="n">
        <x:f>'Założenia'!D129</x:f>
        <x:v>0.64</x:v>
      </x:c>
      <x:c r="E52" s="42" t="n">
        <x:f>'Założenia'!E129</x:f>
        <x:v>0.6374852165968409</x:v>
      </x:c>
      <x:c r="F52" s="42" t="n">
        <x:f>'Założenia'!F129</x:f>
        <x:v>0.6349803146555018</x:v>
      </x:c>
      <x:c r="G52" s="42" t="n">
        <x:f>'Założenia'!G129</x:f>
        <x:v>0.6324852553482698</x:v>
      </x:c>
      <x:c r="H52" s="42" t="n">
        <x:f>'Założenia'!H129</x:f>
        <x:v>0.63</x:v>
      </x:c>
      <x:c r="I52" s="42" t="n">
        <x:f>'Założenia'!I129</x:f>
        <x:v>0.6279871792898715</x:v>
      </x:c>
      <x:c r="J52" s="42" t="n">
        <x:f>'Założenia'!J129</x:f>
        <x:v>0.6259807894483321</x:v>
      </x:c>
      <x:c r="K52" s="42" t="n">
        <x:f>'Założenia'!K129</x:f>
        <x:v>0.6239808099290557</x:v>
      </x:c>
      <x:c r="L52" s="42" t="n">
        <x:f>'Założenia'!L129</x:f>
        <x:v>0.6219872202513606</x:v>
      </x:c>
      <x:c r="M52" s="42" t="n">
        <x:f>'Założenia'!M129</x:f>
        <x:v>0.62</x:v>
      </x:c>
      <x:c r="N52" s="42" t="n">
        <x:f>'Założenia'!N129</x:f>
        <x:v>0.6166209598953223</x:v>
      </x:c>
      <x:c r="O52" s="42" t="n">
        <x:f>'Założenia'!O129</x:f>
        <x:v>0.613260335777788</x:v>
      </x:c>
      <x:c r="P52" s="42" t="n">
        <x:f>'Założenia'!P129</x:f>
        <x:v>0.6099180272790763</x:v>
      </x:c>
      <x:c r="Q52" s="42" t="n">
        <x:f>'Założenia'!Q129</x:f>
        <x:v>0.6065939345778796</x:v>
      </x:c>
      <x:c r="R52" s="42" t="n">
        <x:f>'Założenia'!R129</x:f>
        <x:v>0.6032879583969232</x:v>
      </x:c>
      <x:c r="S52" s="42" t="n">
        <x:f>'Założenia'!S129</x:f>
        <x:v>0.6</x:v>
      </x:c>
    </x:row>
    <x:row r="53" ht="20" customHeight="1">
      <x:c r="A53" s="3"/>
      <x:c r="B53" s="3"/>
      <x:c r="C53" s="10" t="str">
        <x:v>Marża cash aplikacji przed SBC</x:v>
      </x:c>
      <x:c r="D53" s="42" t="n">
        <x:f>'Założenia'!D133</x:f>
        <x:v>0.5</x:v>
      </x:c>
      <x:c r="E53" s="42" t="n">
        <x:f>'Założenia'!E133</x:f>
        <x:v>0.5120568445422226</x:v>
      </x:c>
      <x:c r="F53" s="42" t="n">
        <x:f>'Założenia'!F133</x:f>
        <x:v>0.5244044240850758</x:v>
      </x:c>
      <x:c r="G53" s="42" t="n">
        <x:f>'Założenia'!G133</x:f>
        <x:v>0.5370497493219708</x:v>
      </x:c>
      <x:c r="H53" s="42" t="n">
        <x:f>'Założenia'!H133</x:f>
        <x:v>0.55</x:v>
      </x:c>
      <x:c r="I53" s="42" t="n">
        <x:f>'Założenia'!I133</x:f>
        <x:v>0.5596550174465732</x:v>
      </x:c>
      <x:c r="J53" s="42" t="n">
        <x:f>'Założenia'!J133</x:f>
        <x:v>0.5694795246420438</x:v>
      </x:c>
      <x:c r="K53" s="42" t="n">
        <x:f>'Założenia'!K133</x:f>
        <x:v>0.5794764969072895</x:v>
      </x:c>
      <x:c r="L53" s="42" t="n">
        <x:f>'Założenia'!L133</x:f>
        <x:v>0.5896489617936876</x:v>
      </x:c>
      <x:c r="M53" s="42" t="n">
        <x:f>'Założenia'!M133</x:f>
        <x:v>0.6</x:v>
      </x:c>
      <x:c r="N53" s="42" t="n">
        <x:f>'Założenia'!N133</x:f>
        <x:v>0.6032879583969232</x:v>
      </x:c>
      <x:c r="O53" s="42" t="n">
        <x:f>'Założenia'!O133</x:f>
        <x:v>0.6065939345778795</x:v>
      </x:c>
      <x:c r="P53" s="42" t="n">
        <x:f>'Założenia'!P133</x:f>
        <x:v>0.6099180272790763</x:v>
      </x:c>
      <x:c r="Q53" s="42" t="n">
        <x:f>'Założenia'!Q133</x:f>
        <x:v>0.613260335777788</x:v>
      </x:c>
      <x:c r="R53" s="42" t="n">
        <x:f>'Założenia'!R133</x:f>
        <x:v>0.6166209598953223</x:v>
      </x:c>
      <x:c r="S53" s="42" t="n">
        <x:f>'Założenia'!S133</x:f>
        <x:v>0.62</x:v>
      </x:c>
    </x:row>
    <x:row r="54" ht="20" customHeight="1">
      <x:c r="A54" s="3"/>
      <x:c r="B54" s="3"/>
      <x:c r="C54" s="10" t="str">
        <x:v>Marża cash reklamy przed SBC</x:v>
      </x:c>
      <x:c r="D54" s="42" t="n">
        <x:f>'Założenia'!D153</x:f>
        <x:v>0.4</x:v>
      </x:c>
      <x:c r="E54" s="42" t="n">
        <x:f>'Założenia'!E153</x:f>
        <x:v>0.4</x:v>
      </x:c>
      <x:c r="F54" s="42" t="n">
        <x:f>'Założenia'!F153</x:f>
        <x:v>0.4</x:v>
      </x:c>
      <x:c r="G54" s="42" t="n">
        <x:f>'Założenia'!G153</x:f>
        <x:v>0.4</x:v>
      </x:c>
      <x:c r="H54" s="42" t="n">
        <x:f>'Założenia'!H153</x:f>
        <x:v>0.4</x:v>
      </x:c>
      <x:c r="I54" s="42" t="n">
        <x:f>'Założenia'!I153</x:f>
        <x:v>0.4</x:v>
      </x:c>
      <x:c r="J54" s="42" t="n">
        <x:f>'Założenia'!J153</x:f>
        <x:v>0.4</x:v>
      </x:c>
      <x:c r="K54" s="42" t="n">
        <x:f>'Założenia'!K153</x:f>
        <x:v>0.4</x:v>
      </x:c>
      <x:c r="L54" s="42" t="n">
        <x:f>'Założenia'!L153</x:f>
        <x:v>0.4</x:v>
      </x:c>
      <x:c r="M54" s="42" t="n">
        <x:f>'Założenia'!M153</x:f>
        <x:v>0.4</x:v>
      </x:c>
      <x:c r="N54" s="42" t="n">
        <x:f>'Założenia'!N153</x:f>
        <x:v>0.4</x:v>
      </x:c>
      <x:c r="O54" s="42" t="n">
        <x:f>'Założenia'!O153</x:f>
        <x:v>0.4</x:v>
      </x:c>
      <x:c r="P54" s="42" t="n">
        <x:f>'Założenia'!P153</x:f>
        <x:v>0.4</x:v>
      </x:c>
      <x:c r="Q54" s="42" t="n">
        <x:f>'Założenia'!Q153</x:f>
        <x:v>0.4</x:v>
      </x:c>
      <x:c r="R54" s="42" t="n">
        <x:f>'Założenia'!R153</x:f>
        <x:v>0.4</x:v>
      </x:c>
      <x:c r="S54" s="42" t="n">
        <x:f>'Założenia'!S153</x:f>
        <x:v>0.4</x:v>
      </x:c>
    </x:row>
    <x:row r="55" ht="20" customHeight="1">
      <x:c r="A55" s="3"/>
      <x:c r="B55" s="3"/>
      <x:c r="C55" s="10" t="str">
        <x:v>SBC / przychody</x:v>
      </x:c>
      <x:c r="D55" s="42" t="n">
        <x:f>'Założenia'!D137</x:f>
        <x:v>0.1</x:v>
      </x:c>
      <x:c r="E55" s="42" t="n">
        <x:f>'Założenia'!E137</x:f>
        <x:v>0.09457416090031759</x:v>
      </x:c>
      <x:c r="F55" s="42" t="n">
        <x:f>'Założenia'!F137</x:f>
        <x:v>0.08944271909999159</x:v>
      </x:c>
      <x:c r="G55" s="42" t="n">
        <x:f>'Założenia'!G137</x:f>
        <x:v>0.08458970107524513</x:v>
      </x:c>
      <x:c r="H55" s="42" t="n">
        <x:f>'Założenia'!H137</x:f>
        <x:v>0.08</x:v>
      </x:c>
      <x:c r="I55" s="42" t="n">
        <x:f>'Założenia'!I137</x:f>
        <x:v>0.07552700090359216</x:v>
      </x:c>
      <x:c r="J55" s="42" t="n">
        <x:f>'Założenia'!J137</x:f>
        <x:v>0.07130409831864014</x:v>
      </x:c>
      <x:c r="K55" s="42" t="n">
        <x:f>'Założenia'!K137</x:f>
        <x:v>0.06731730872677197</x:v>
      </x:c>
      <x:c r="L55" s="42" t="n">
        <x:f>'Założenia'!L137</x:f>
        <x:v>0.06355343046292873</x:v>
      </x:c>
      <x:c r="M55" s="42" t="n">
        <x:f>'Założenia'!M137</x:f>
        <x:v>0.06</x:v>
      </x:c>
      <x:c r="N55" s="42" t="n">
        <x:f>'Założenia'!N137</x:f>
        <x:v>0.05820420692674802</x:v>
      </x:c>
      <x:c r="O55" s="42" t="n">
        <x:f>'Założenia'!O137</x:f>
        <x:v>0.05646216173286171</x:v>
      </x:c>
      <x:c r="P55" s="42" t="n">
        <x:f>'Założenia'!P137</x:f>
        <x:v>0.05477225575051661</x:v>
      </x:c>
      <x:c r="Q55" s="42" t="n">
        <x:f>'Założenia'!Q137</x:f>
        <x:v>0.053132928459130556</x:v>
      </x:c>
      <x:c r="R55" s="42" t="n">
        <x:f>'Założenia'!R137</x:f>
        <x:v>0.05154266604432223</x:v>
      </x:c>
      <x:c r="S55" s="42" t="n">
        <x:f>'Założenia'!S137</x:f>
        <x:v>0.05</x:v>
      </x:c>
    </x:row>
    <x:row r="56" ht="20" customHeight="1">
      <x:c r="A56" s="3"/>
      <x:c r="B56" s="3"/>
      <x:c r="C56" s="3" t="str">
        <x:v>Koszt SBC</x:v>
      </x:c>
      <x:c r="D56" s="40" t="n">
        <x:f>D51*D55</x:f>
        <x:v>1016</x:v>
      </x:c>
      <x:c r="E56" s="40" t="n">
        <x:f>E51*E55</x:f>
        <x:v>5479.467801280212</x:v>
      </x:c>
      <x:c r="F56" s="40" t="n">
        <x:f>F51*F55</x:f>
        <x:v>7546.927151460032</x:v>
      </x:c>
      <x:c r="G56" s="40" t="n">
        <x:f>G51*G55</x:f>
        <x:v>10462.469319147855</x:v>
      </x:c>
      <x:c r="H56" s="40" t="n">
        <x:f>H51*H55</x:f>
        <x:v>14582.169501497208</x:v>
      </x:c>
      <x:c r="I56" s="40" t="n">
        <x:f>I51*I55</x:f>
        <x:v>17193.926349638023</x:v>
      </x:c>
      <x:c r="J56" s="40" t="n">
        <x:f>J51*J55</x:f>
        <x:v>18082.207003136857</x:v>
      </x:c>
      <x:c r="K56" s="40" t="n">
        <x:f>K51*K55</x:f>
        <x:v>19018.707862399267</x:v>
      </x:c>
      <x:c r="L56" s="40" t="n">
        <x:f>L51*L55</x:f>
        <x:v>20006.17119282286</x:v>
      </x:c>
      <x:c r="M56" s="40" t="n">
        <x:f>M51*M55</x:f>
        <x:v>21047.504137071064</x:v>
      </x:c>
      <x:c r="N56" s="40" t="n">
        <x:f>N51*N55</x:f>
        <x:v>21806.635021259033</x:v>
      </x:c>
      <x:c r="O56" s="40" t="n">
        <x:f>O51*O55</x:f>
        <x:v>21913.62355056417</x:v>
      </x:c>
      <x:c r="P56" s="40" t="n">
        <x:f>P51*P55</x:f>
        <x:v>22023.383139258527</x:v>
      </x:c>
      <x:c r="Q56" s="40" t="n">
        <x:f>Q51*Q55</x:f>
        <x:v>22135.99995293389</x:v>
      </x:c>
      <x:c r="R56" s="40" t="n">
        <x:f>R51*R55</x:f>
        <x:v>22251.562858922873</x:v>
      </x:c>
      <x:c r="S56" s="40" t="n">
        <x:f>S51*S55</x:f>
        <x:v>22370.163511074126</x:v>
      </x:c>
    </x:row>
    <x:row r="57" ht="23" customHeight="1">
      <x:c r="A57" s="3"/>
      <x:c r="B57" s="3"/>
      <x:c r="C57" s="45" t="str">
        <x:v>SI: EBITDA po SBC</x:v>
      </x:c>
      <x:c r="D57" s="46" t="n">
        <x:f>D48*D52+D49*D53+D50*D54-D56</x:f>
        <x:v>5062.400000000001</x:v>
      </x:c>
      <x:c r="E57" s="46" t="n">
        <x:f>E48*E52+E49*E53+E50*E54-E56</x:f>
        <x:v>29546.08147791348</x:v>
      </x:c>
      <x:c r="F57" s="46" t="n">
        <x:f>F48*F52+F49*F53+F50*F54-F56</x:f>
        <x:v>43900.49791848794</x:v>
      </x:c>
      <x:c r="G57" s="46" t="n">
        <x:f>G48*G52+G49*G53+G50*G54-G56</x:f>
        <x:v>65421.10529336758</x:v>
      </x:c>
      <x:c r="H57" s="46" t="n">
        <x:f>H48*H52+H49*H53+H50*H54-H56</x:f>
        <x:v>97722.4153227933</x:v>
      </x:c>
      <x:c r="I57" s="46" t="n">
        <x:f>I48*I52+I49*I53+I50*I54-I56</x:f>
        <x:v>123247.16629257612</x:v>
      </x:c>
      <x:c r="J57" s="46" t="n">
        <x:f>J48*J52+J49*J53+J50*J54-J56</x:f>
        <x:v>138201.67275386778</x:v>
      </x:c>
      <x:c r="K57" s="46" t="n">
        <x:f>K48*K52+K49*K53+K50*K54-K56</x:f>
        <x:v>154940.70840534326</x:v>
      </x:c>
      <x:c r="L57" s="46" t="n">
        <x:f>L48*L52+L49*L53+L50*L54-L56</x:f>
        <x:v>173680.28773575198</x:v>
      </x:c>
      <x:c r="M57" s="46" t="n">
        <x:f>M48*M52+M49*M53+M50*M54-M56</x:f>
        <x:v>194663.37194599662</x:v>
      </x:c>
      <x:c r="N57" s="46" t="n">
        <x:f>N48*N52+N49*N53+N50*N54-N56</x:f>
        <x:v>207677.7289264631</x:v>
      </x:c>
      <x:c r="O57" s="46" t="n">
        <x:f>O48*O52+O49*O53+O50*O54-O56</x:f>
        <x:v>214841.8473422676</x:v>
      </x:c>
      <x:c r="P57" s="46" t="n">
        <x:f>P48*P52+P49*P53+P50*P54-P56</x:f>
        <x:v>222279.85048677458</x:v>
      </x:c>
      <x:c r="Q57" s="46" t="n">
        <x:f>Q48*Q52+Q49*Q53+Q50*Q54-Q56</x:f>
        <x:v>230004.82156188422</x:v>
      </x:c>
      <x:c r="R57" s="46" t="n">
        <x:f>R48*R52+R49*R53+R50*R54-R56</x:f>
        <x:v>238030.59388098534</x:v>
      </x:c>
      <x:c r="S57" s="46" t="n">
        <x:f>S48*S52+S49*S53+S50*S54-S56</x:f>
        <x:v>246371.79862181537</x:v>
      </x:c>
    </x:row>
    <x:row r="58" ht="20" customHeight="1">
      <x:c r="A58" s="3"/>
      <x:c r="B58" s="3"/>
      <x:c r="C58" s="3" t="str">
        <x:v>Koszt inwestycji (USD mln/GW)</x:v>
      </x:c>
      <x:c r="D58" s="38" t="n">
        <x:f>'Założenia'!D117</x:f>
        <x:v>30000</x:v>
      </x:c>
      <x:c r="E58" s="38" t="n">
        <x:f>'Założenia'!E117</x:f>
        <x:v>29220.112392758903</x:v>
      </x:c>
      <x:c r="F58" s="38" t="n">
        <x:f>'Założenia'!F117</x:f>
        <x:v>28460.498941515412</x:v>
      </x:c>
      <x:c r="G58" s="38" t="n">
        <x:f>'Założenia'!G117</x:f>
        <x:v>27720.632594169205</x:v>
      </x:c>
      <x:c r="H58" s="38" t="n">
        <x:f>'Założenia'!H117</x:f>
        <x:v>27000</x:v>
      </x:c>
      <x:c r="I58" s="38" t="n">
        <x:f>'Założenia'!I117</x:f>
        <x:v>26147.88573973405</x:v>
      </x:c>
      <x:c r="J58" s="38" t="n">
        <x:f>'Założenia'!J117</x:f>
        <x:v>25322.664024377307</x:v>
      </x:c>
      <x:c r="K58" s="38" t="n">
        <x:f>'Założenia'!K117</x:f>
        <x:v>24523.48613092933</x:v>
      </x:c>
      <x:c r="L58" s="38" t="n">
        <x:f>'Założenia'!L117</x:f>
        <x:v>23749.530121907137</x:v>
      </x:c>
      <x:c r="M58" s="38" t="n">
        <x:f>'Założenia'!M117</x:f>
        <x:v>23000</x:v>
      </x:c>
      <x:c r="N58" s="38" t="n">
        <x:f>'Założenia'!N117</x:f>
        <x:v>22470.43755514126</x:v>
      </x:c>
      <x:c r="O58" s="38" t="n">
        <x:f>'Założenia'!O117</x:f>
        <x:v>21953.067996500118</x:v>
      </x:c>
      <x:c r="P58" s="38" t="n">
        <x:f>'Założenia'!P117</x:f>
        <x:v>21447.610589527216</x:v>
      </x:c>
      <x:c r="Q58" s="38" t="n">
        <x:f>'Założenia'!Q117</x:f>
        <x:v>20953.791063432946</x:v>
      </x:c>
      <x:c r="R58" s="38" t="n">
        <x:f>'Założenia'!R117</x:f>
        <x:v>20471.341462362914</x:v>
      </x:c>
      <x:c r="S58" s="38" t="n">
        <x:f>'Założenia'!S117</x:f>
        <x:v>20000</x:v>
      </x:c>
    </x:row>
    <x:row r="59" ht="20" customHeight="1">
      <x:c r="A59" s="3"/>
      <x:c r="B59" s="3"/>
      <x:c r="C59" s="3" t="str">
        <x:v>Ekonomiczna żywotność GPU (lata)</x:v>
      </x:c>
      <x:c r="D59" s="38" t="n">
        <x:f>'Założenia'!D157</x:f>
        <x:v>5</x:v>
      </x:c>
      <x:c r="E59" s="38" t="n">
        <x:f>'Założenia'!E157</x:f>
        <x:v>5</x:v>
      </x:c>
      <x:c r="F59" s="38" t="n">
        <x:f>'Założenia'!F157</x:f>
        <x:v>5</x:v>
      </x:c>
      <x:c r="G59" s="38" t="n">
        <x:f>'Założenia'!G157</x:f>
        <x:v>5</x:v>
      </x:c>
      <x:c r="H59" s="38" t="n">
        <x:f>'Założenia'!H157</x:f>
        <x:v>5</x:v>
      </x:c>
      <x:c r="I59" s="38" t="n">
        <x:f>'Założenia'!I157</x:f>
        <x:v>5</x:v>
      </x:c>
      <x:c r="J59" s="38" t="n">
        <x:f>'Założenia'!J157</x:f>
        <x:v>5</x:v>
      </x:c>
      <x:c r="K59" s="38" t="n">
        <x:f>'Założenia'!K157</x:f>
        <x:v>5</x:v>
      </x:c>
      <x:c r="L59" s="38" t="n">
        <x:f>'Założenia'!L157</x:f>
        <x:v>5</x:v>
      </x:c>
      <x:c r="M59" s="38" t="n">
        <x:f>'Założenia'!M157</x:f>
        <x:v>5</x:v>
      </x:c>
      <x:c r="N59" s="38" t="n">
        <x:f>'Założenia'!N157</x:f>
        <x:v>5</x:v>
      </x:c>
      <x:c r="O59" s="38" t="n">
        <x:f>'Założenia'!O157</x:f>
        <x:v>5</x:v>
      </x:c>
      <x:c r="P59" s="38" t="n">
        <x:f>'Założenia'!P157</x:f>
        <x:v>5</x:v>
      </x:c>
      <x:c r="Q59" s="38" t="n">
        <x:f>'Założenia'!Q157</x:f>
        <x:v>5</x:v>
      </x:c>
      <x:c r="R59" s="38" t="n">
        <x:f>'Założenia'!R157</x:f>
        <x:v>5</x:v>
      </x:c>
      <x:c r="S59" s="38" t="n">
        <x:f>'Założenia'!S157</x:f>
        <x:v>5</x:v>
      </x:c>
    </x:row>
    <x:row r="60" ht="20" customHeight="1">
      <x:c r="A60" s="3"/>
      <x:c r="B60" s="3"/>
      <x:c r="C60" s="3" t="str">
        <x:v>AI: inwestycje wzrostowe oddane do użycia</x:v>
      </x:c>
      <x:c r="D60" s="40" t="n">
        <x:f>MAX(0,D44-D43)*D58</x:f>
        <x:v>24000</x:v>
      </x:c>
      <x:c r="E60" s="40" t="n">
        <x:f>MAX(0,E44-E43)*E58</x:f>
        <x:v>39324.51014299006</x:v>
      </x:c>
      <x:c r="F60" s="40" t="n">
        <x:f>MAX(0,F44-F43)*F58</x:f>
        <x:v>58921.11484542693</x:v>
      </x:c>
      <x:c r="G60" s="40" t="n">
        <x:f>MAX(0,G44-G43)*G58</x:f>
        <x:v>88283.30631467128</x:v>
      </x:c>
      <x:c r="H60" s="40" t="n">
        <x:f>MAX(0,H44-H43)*H58</x:f>
        <x:v>132277.57475900848</x:v>
      </x:c>
      <x:c r="I60" s="40" t="n">
        <x:f>MAX(0,I44-I43)*I58</x:f>
        <x:v>48247.48047284376</x:v>
      </x:c>
      <x:c r="J60" s="40" t="n">
        <x:f>MAX(0,J44-J43)*J58</x:f>
        <x:v>52883.052552521236</x:v>
      </x:c>
      <x:c r="K60" s="40" t="n">
        <x:f>MAX(0,K44-K43)*K58</x:f>
        <x:v>57964.00599295131</x:v>
      </x:c>
      <x:c r="L60" s="40" t="n">
        <x:f>MAX(0,L44-L43)*L58</x:f>
        <x:v>63533.13261207935</x:v>
      </x:c>
      <x:c r="M60" s="40" t="n">
        <x:f>MAX(0,M44-M43)*M58</x:f>
        <x:v>69637.33562505883</x:v>
      </x:c>
      <x:c r="N60" s="40" t="n">
        <x:f>MAX(0,N44-N43)*N58</x:f>
        <x:v>29672.901870374746</x:v>
      </x:c>
      <x:c r="O60" s="40" t="n">
        <x:f>MAX(0,O44-O43)*O58</x:f>
        <x:v>30462.075932975273</x:v>
      </x:c>
      <x:c r="P60" s="40" t="n">
        <x:f>MAX(0,P44-P43)*P58</x:f>
        <x:v>31272.23869778639</x:v>
      </x:c>
      <x:c r="Q60" s="40" t="n">
        <x:f>MAX(0,Q44-Q43)*Q58</x:f>
        <x:v>32103.94837578003</x:v>
      </x:c>
      <x:c r="R60" s="40" t="n">
        <x:f>MAX(0,R44-R43)*R58</x:f>
        <x:v>32957.77802398607</x:v>
      </x:c>
      <x:c r="S60" s="40" t="n">
        <x:f>MAX(0,S44-S43)*S58</x:f>
        <x:v>33834.31594033467</x:v>
      </x:c>
    </x:row>
    <x:row r="61" ht="20" customHeight="1">
      <x:c r="A61" s="3"/>
      <x:c r="B61" s="3"/>
      <x:c r="C61" s="3" t="str">
        <x:v>AI: CIP na początek</x:v>
      </x:c>
      <x:c r="D61" s="38" t="n">
        <x:f>'Założenia'!$D$179</x:f>
        <x:v>12554</x:v>
      </x:c>
      <x:c r="E61" s="40" t="n">
        <x:f>D62</x:f>
        <x:v>20662.489499999996</x:v>
      </x:c>
      <x:c r="F61" s="40" t="n">
        <x:f>E62</x:f>
        <x:v>14730.278711356732</x:v>
      </x:c>
      <x:c r="G61" s="40" t="n">
        <x:f>F62</x:f>
        <x:v>22070.82657866782</x:v>
      </x:c>
      <x:c r="H61" s="40" t="n">
        <x:f>G62</x:f>
        <x:v>33069.39368975212</x:v>
      </x:c>
      <x:c r="I61" s="40" t="n">
        <x:f>H62</x:f>
        <x:v>12061.87011821094</x:v>
      </x:c>
      <x:c r="J61" s="40" t="n">
        <x:f>I62</x:f>
        <x:v>13220.763138130309</x:v>
      </x:c>
      <x:c r="K61" s="40" t="n">
        <x:f>J62</x:f>
        <x:v>14491.001498237827</x:v>
      </x:c>
      <x:c r="L61" s="40" t="n">
        <x:f>K62</x:f>
        <x:v>15883.283153019838</x:v>
      </x:c>
      <x:c r="M61" s="40" t="n">
        <x:f>L62</x:f>
        <x:v>17409.333906264706</x:v>
      </x:c>
      <x:c r="N61" s="40" t="n">
        <x:f>M62</x:f>
        <x:v>7418.2254675936865</x:v>
      </x:c>
      <x:c r="O61" s="40" t="n">
        <x:f>N62</x:f>
        <x:v>7615.518983243818</x:v>
      </x:c>
      <x:c r="P61" s="40" t="n">
        <x:f>O62</x:f>
        <x:v>7818.0596744465975</x:v>
      </x:c>
      <x:c r="Q61" s="40" t="n">
        <x:f>P62</x:f>
        <x:v>8025.9870939450075</x:v>
      </x:c>
      <x:c r="R61" s="40" t="n">
        <x:f>Q62</x:f>
        <x:v>8239.444505996518</x:v>
      </x:c>
      <x:c r="S61" s="40" t="n">
        <x:f>R62</x:f>
        <x:v>8458.578985083668</x:v>
      </x:c>
    </x:row>
    <x:row r="62" ht="20" customHeight="1">
      <x:c r="A62" s="3"/>
      <x:c r="B62" s="3"/>
      <x:c r="C62" s="3" t="str">
        <x:v>AI: CIP na koniec</x:v>
      </x:c>
      <x:c r="D62" s="38" t="n">
        <x:f>MAX(MAX(0,'Założenia'!E105-D44)*'Założenia'!E117*'Założenia'!$D$180,D61+MAX(0,D67-D40-D26-D66)-D63)</x:f>
        <x:v>20662.489499999996</x:v>
      </x:c>
      <x:c r="E62" s="38" t="n">
        <x:f>MAX(MAX(0,'Założenia'!F105-E44)*'Założenia'!F117*'Założenia'!$D$180,E61+MAX(0,E67-E40-E26-E66)-E63)</x:f>
        <x:v>14730.278711356732</x:v>
      </x:c>
      <x:c r="F62" s="38" t="n">
        <x:f>MAX(MAX(0,'Założenia'!G105-F44)*'Założenia'!G117*'Założenia'!$D$180,F61+MAX(0,F67-F40-F26-F66)-F63)</x:f>
        <x:v>22070.82657866782</x:v>
      </x:c>
      <x:c r="G62" s="38" t="n">
        <x:f>MAX(MAX(0,'Założenia'!H105-G44)*'Założenia'!H117*'Założenia'!$D$180,G61+MAX(0,G67-G40-G26-G66)-G63)</x:f>
        <x:v>33069.39368975212</x:v>
      </x:c>
      <x:c r="H62" s="38" t="n">
        <x:f>MAX(MAX(0,'Założenia'!I105-H44)*'Założenia'!I117*'Założenia'!$D$180,H61+MAX(0,H67-H40-H26-H66)-H63)</x:f>
        <x:v>12061.87011821094</x:v>
      </x:c>
      <x:c r="I62" s="38" t="n">
        <x:f>MAX(MAX(0,'Założenia'!J105-I44)*'Założenia'!J117*'Założenia'!$D$180,I61+MAX(0,I67-I40-I26-I66)-I63)</x:f>
        <x:v>13220.763138130309</x:v>
      </x:c>
      <x:c r="J62" s="38" t="n">
        <x:f>MAX(MAX(0,'Założenia'!K105-J44)*'Założenia'!K117*'Założenia'!$D$180,J61+MAX(0,J67-J40-J26-J66)-J63)</x:f>
        <x:v>14491.001498237827</x:v>
      </x:c>
      <x:c r="K62" s="38" t="n">
        <x:f>MAX(MAX(0,'Założenia'!L105-K44)*'Założenia'!L117*'Założenia'!$D$180,K61+MAX(0,K67-K40-K26-K66)-K63)</x:f>
        <x:v>15883.283153019838</x:v>
      </x:c>
      <x:c r="L62" s="38" t="n">
        <x:f>MAX(MAX(0,'Założenia'!M105-L44)*'Założenia'!M117*'Założenia'!$D$180,L61+MAX(0,L67-L40-L26-L66)-L63)</x:f>
        <x:v>17409.333906264706</x:v>
      </x:c>
      <x:c r="M62" s="38" t="n">
        <x:f>MAX(MAX(0,'Założenia'!N105-M44)*'Założenia'!N117*'Założenia'!$D$180,M61+MAX(0,M67-M40-M26-M66)-M63)</x:f>
        <x:v>7418.2254675936865</x:v>
      </x:c>
      <x:c r="N62" s="38" t="n">
        <x:f>MAX(MAX(0,'Założenia'!O105-N44)*'Założenia'!O117*'Założenia'!$D$180,N61+MAX(0,N67-N40-N26-N66)-N63)</x:f>
        <x:v>7615.518983243818</x:v>
      </x:c>
      <x:c r="O62" s="38" t="n">
        <x:f>MAX(MAX(0,'Założenia'!P105-O44)*'Założenia'!P117*'Założenia'!$D$180,O61+MAX(0,O67-O40-O26-O66)-O63)</x:f>
        <x:v>7818.0596744465975</x:v>
      </x:c>
      <x:c r="P62" s="38" t="n">
        <x:f>MAX(MAX(0,'Założenia'!Q105-P44)*'Założenia'!Q117*'Założenia'!$D$180,P61+MAX(0,P67-P40-P26-P66)-P63)</x:f>
        <x:v>8025.9870939450075</x:v>
      </x:c>
      <x:c r="Q62" s="38" t="n">
        <x:f>MAX(MAX(0,'Założenia'!R105-Q44)*'Założenia'!R117*'Założenia'!$D$180,Q61+MAX(0,Q67-Q40-Q26-Q66)-Q63)</x:f>
        <x:v>8239.444505996518</x:v>
      </x:c>
      <x:c r="R62" s="38" t="n">
        <x:f>MAX(MAX(0,'Założenia'!S105-R44)*'Założenia'!S117*'Założenia'!$D$180,R61+MAX(0,R67-R40-R26-R66)-R63)</x:f>
        <x:v>8458.578985083668</x:v>
      </x:c>
      <x:c r="S62" s="38" t="n">
        <x:f>MAX(S44*'Wycena'!$D$26*S58*'Założenia'!$D$180,S61+MAX(0,S67-S40-S26-S66)-S63)</x:f>
        <x:v>5250</x:v>
      </x:c>
    </x:row>
    <x:row r="63" ht="23" customHeight="1">
      <x:c r="A63" s="3"/>
      <x:c r="B63" s="3"/>
      <x:c r="C63" s="45" t="str">
        <x:v>AI: aktywa oddane do użycia</x:v>
      </x:c>
      <x:c r="D63" s="46" t="n">
        <x:f>SUM(D60,D64)</x:f>
        <x:v>26167.5</x:v>
      </x:c>
      <x:c r="E63" s="46" t="n">
        <x:f>SUM(E60,E64)</x:f>
        <x:v>51743.0579099126</x:v>
      </x:c>
      <x:c r="F63" s="46" t="n">
        <x:f>SUM(F60,F64)</x:f>
        <x:v>77528.20433052501</x:v>
      </x:c>
      <x:c r="G63" s="46" t="n">
        <x:f>SUM(G60,G64)</x:f>
        <x:v>116162.87690573772</x:v>
      </x:c>
      <x:c r="H63" s="46" t="n">
        <x:f>SUM(H60,H64)</x:f>
        <x:v>174050.38704997703</x:v>
      </x:c>
      <x:c r="I63" s="46" t="n">
        <x:f>SUM(I60,I64)</x:f>
        <x:v>110479.4485334108</x:v>
      </x:c>
      <x:c r="J63" s="46" t="n">
        <x:f>SUM(J60,J64)</x:f>
        <x:v>121094.20897230867</x:v>
      </x:c>
      <x:c r="K63" s="46" t="n">
        <x:f>SUM(K60,K64)</x:f>
        <x:v>132728.8255081629</x:v>
      </x:c>
      <x:c r="L63" s="46" t="n">
        <x:f>SUM(L60,L64)</x:f>
        <x:v>145481.28494571464</x:v>
      </x:c>
      <x:c r="M63" s="46" t="n">
        <x:f>SUM(M60,M64)</x:f>
        <x:v>159458.9885687988</x:v>
      </x:c>
      <x:c r="N63" s="46" t="n">
        <x:f>SUM(N60,N64)</x:f>
        <x:v>128992.23586409912</x:v>
      </x:c>
      <x:c r="O63" s="46" t="n">
        <x:f>SUM(O60,O64)</x:f>
        <x:v>132422.88539293516</x:v>
      </x:c>
      <x:c r="P63" s="46" t="n">
        <x:f>SUM(P60,P64)</x:f>
        <x:v>135944.77573259102</x:v>
      </x:c>
      <x:c r="Q63" s="46" t="n">
        <x:f>SUM(Q60,Q64)</x:f>
        <x:v>139560.33350388275</x:v>
      </x:c>
      <x:c r="R63" s="46" t="n">
        <x:f>SUM(R60,R64)</x:f>
        <x:v>143272.0498655073</x:v>
      </x:c>
      <x:c r="S63" s="46" t="n">
        <x:f>SUM(S60,S64)</x:f>
        <x:v>147082.4822304778</x:v>
      </x:c>
    </x:row>
    <x:row r="64" ht="20" customHeight="1">
      <x:c r="A64" s="3"/>
      <x:c r="B64" s="3"/>
      <x:c r="C64" s="3" t="str">
        <x:v>AI: inwestycje odtworzeniowe</x:v>
      </x:c>
      <x:c r="D64" s="38" t="n">
        <x:f>D43*D58*('Założenia'!$D$183/D59+(1-'Założenia'!$D$183)/'Założenia'!$D$184)*D$5</x:f>
        <x:v>2167.5</x:v>
      </x:c>
      <x:c r="E64" s="38" t="n">
        <x:f>E43*E58*('Założenia'!$D$183/E59+(1-'Założenia'!$D$183)/'Założenia'!$D$184)*E$5</x:f>
        <x:v>12418.547766922535</x:v>
      </x:c>
      <x:c r="F64" s="38" t="n">
        <x:f>F43*F58*('Założenia'!$D$183/F59+(1-'Założenia'!$D$183)/'Założenia'!$D$184)*F$5</x:f>
        <x:v>18607.089485098077</x:v>
      </x:c>
      <x:c r="G64" s="38" t="n">
        <x:f>G43*G58*('Założenia'!$D$183/G59+(1-'Założenia'!$D$183)/'Założenia'!$D$184)*G$5</x:f>
        <x:v>27879.57059106644</x:v>
      </x:c>
      <x:c r="H64" s="38" t="n">
        <x:f>H43*H58*('Założenia'!$D$183/H59+(1-'Założenia'!$D$183)/'Założenia'!$D$184)*H$5</x:f>
        <x:v>41772.81229096856</x:v>
      </x:c>
      <x:c r="I64" s="38" t="n">
        <x:f>I43*I58*('Założenia'!$D$183/I59+(1-'Założenia'!$D$183)/'Założenia'!$D$184)*I$5</x:f>
        <x:v>62231.968060567044</x:v>
      </x:c>
      <x:c r="J64" s="38" t="n">
        <x:f>J43*J58*('Założenia'!$D$183/J59+(1-'Założenia'!$D$183)/'Założenia'!$D$184)*J$5</x:f>
        <x:v>68211.15641978742</x:v>
      </x:c>
      <x:c r="K64" s="38" t="n">
        <x:f>K43*K58*('Założenia'!$D$183/K59+(1-'Założenia'!$D$183)/'Założenia'!$D$184)*K$5</x:f>
        <x:v>74764.81951521161</x:v>
      </x:c>
      <x:c r="L64" s="38" t="n">
        <x:f>L43*L58*('Założenia'!$D$183/L59+(1-'Założenia'!$D$183)/'Założenia'!$D$184)*L$5</x:f>
        <x:v>81948.1523336353</x:v>
      </x:c>
      <x:c r="M64" s="38" t="n">
        <x:f>M43*M58*('Założenia'!$D$183/M59+(1-'Założenia'!$D$183)/'Założenia'!$D$184)*M$5</x:f>
        <x:v>89821.65294374</x:v>
      </x:c>
      <x:c r="N64" s="38" t="n">
        <x:f>N43*N58*('Założenia'!$D$183/N59+(1-'Założenia'!$D$183)/'Założenia'!$D$184)*N$5</x:f>
        <x:v>99319.33399372437</x:v>
      </x:c>
      <x:c r="O64" s="38" t="n">
        <x:f>O43*O58*('Założenia'!$D$183/O59+(1-'Założenia'!$D$183)/'Założenia'!$D$184)*O$5</x:f>
        <x:v>101960.80945995988</x:v>
      </x:c>
      <x:c r="P64" s="38" t="n">
        <x:f>P43*P58*('Założenia'!$D$183/P59+(1-'Założenia'!$D$183)/'Założenia'!$D$184)*P$5</x:f>
        <x:v>104672.53703480464</x:v>
      </x:c>
      <x:c r="Q64" s="38" t="n">
        <x:f>Q43*Q58*('Założenia'!$D$183/Q59+(1-'Założenia'!$D$183)/'Założenia'!$D$184)*Q$5</x:f>
        <x:v>107456.38512810272</x:v>
      </x:c>
      <x:c r="R64" s="38" t="n">
        <x:f>R43*R58*('Założenia'!$D$183/R59+(1-'Założenia'!$D$183)/'Założenia'!$D$184)*R$5</x:f>
        <x:v>110314.2718415212</x:v>
      </x:c>
      <x:c r="S64" s="38" t="n">
        <x:f>S43*S58*('Założenia'!$D$183/S59+(1-'Założenia'!$D$183)/'Założenia'!$D$184)*S$5</x:f>
        <x:v>113248.16629014311</x:v>
      </x:c>
    </x:row>
    <x:row r="65" ht="23" customHeight="1">
      <x:c r="A65" s="3"/>
      <x:c r="B65" s="3"/>
      <x:c r="C65" s="45" t="str">
        <x:v>AI: capex ekonomiczny z ΔCIP</x:v>
      </x:c>
      <x:c r="D65" s="46" t="n">
        <x:f>D63+D62-D61</x:f>
        <x:v>34275.989499999996</x:v>
      </x:c>
      <x:c r="E65" s="46" t="n">
        <x:f>E63+E62-E61</x:f>
        <x:v>45810.847121269326</x:v>
      </x:c>
      <x:c r="F65" s="46" t="n">
        <x:f>F63+F62-F61</x:f>
        <x:v>84868.7521978361</x:v>
      </x:c>
      <x:c r="G65" s="46" t="n">
        <x:f>G63+G62-G61</x:f>
        <x:v>127161.444016822</x:v>
      </x:c>
      <x:c r="H65" s="46" t="n">
        <x:f>H63+H62-H61</x:f>
        <x:v>153042.86347843584</x:v>
      </x:c>
      <x:c r="I65" s="46" t="n">
        <x:f>I63+I62-I61</x:f>
        <x:v>111638.34155333017</x:v>
      </x:c>
      <x:c r="J65" s="46" t="n">
        <x:f>J63+J62-J61</x:f>
        <x:v>122364.4473324162</x:v>
      </x:c>
      <x:c r="K65" s="46" t="n">
        <x:f>K63+K62-K61</x:f>
        <x:v>134121.1071629449</x:v>
      </x:c>
      <x:c r="L65" s="46" t="n">
        <x:f>L63+L62-L61</x:f>
        <x:v>147007.3356989595</x:v>
      </x:c>
      <x:c r="M65" s="46" t="n">
        <x:f>M63+M62-M61</x:f>
        <x:v>149467.8801301278</x:v>
      </x:c>
      <x:c r="N65" s="46" t="n">
        <x:f>N63+N62-N61</x:f>
        <x:v>129189.52937974925</x:v>
      </x:c>
      <x:c r="O65" s="46" t="n">
        <x:f>O63+O62-O61</x:f>
        <x:v>132625.42608413793</x:v>
      </x:c>
      <x:c r="P65" s="46" t="n">
        <x:f>P63+P62-P61</x:f>
        <x:v>136152.70315208944</x:v>
      </x:c>
      <x:c r="Q65" s="46" t="n">
        <x:f>Q63+Q62-Q61</x:f>
        <x:v>139773.79091593425</x:v>
      </x:c>
      <x:c r="R65" s="46" t="n">
        <x:f>R63+R62-R61</x:f>
        <x:v>143491.18434459445</x:v>
      </x:c>
      <x:c r="S65" s="46" t="n">
        <x:f>S63+S62-S61</x:f>
        <x:v>143873.90324539412</x:v>
      </x:c>
    </x:row>
    <x:row r="66" ht="20" customHeight="1">
      <x:c r="A66" s="3"/>
      <x:c r="B66" s="3"/>
      <x:c r="C66" s="3" t="str">
        <x:v>Pozostałe inwestycje niematerialne</x:v>
      </x:c>
      <x:c r="D66" s="38" t="n">
        <x:f>'Założenia'!D161</x:f>
        <x:v>0</x:v>
      </x:c>
      <x:c r="E66" s="38" t="n">
        <x:f>'Założenia'!E161</x:f>
        <x:v>5000</x:v>
      </x:c>
      <x:c r="F66" s="38" t="n">
        <x:f>'Założenia'!F161</x:f>
        <x:v>0</x:v>
      </x:c>
      <x:c r="G66" s="38" t="n">
        <x:f>'Założenia'!G161</x:f>
        <x:v>0</x:v>
      </x:c>
      <x:c r="H66" s="38" t="n">
        <x:f>'Założenia'!H161</x:f>
        <x:v>0</x:v>
      </x:c>
      <x:c r="I66" s="38" t="n">
        <x:f>'Założenia'!I161</x:f>
        <x:v>0</x:v>
      </x:c>
      <x:c r="J66" s="38" t="n">
        <x:f>'Założenia'!J161</x:f>
        <x:v>0</x:v>
      </x:c>
      <x:c r="K66" s="38" t="n">
        <x:f>'Założenia'!K161</x:f>
        <x:v>0</x:v>
      </x:c>
      <x:c r="L66" s="38" t="n">
        <x:f>'Założenia'!L161</x:f>
        <x:v>0</x:v>
      </x:c>
      <x:c r="M66" s="38" t="n">
        <x:f>'Założenia'!M161</x:f>
        <x:v>0</x:v>
      </x:c>
      <x:c r="N66" s="38" t="n">
        <x:f>'Założenia'!N161</x:f>
        <x:v>0</x:v>
      </x:c>
      <x:c r="O66" s="38" t="n">
        <x:f>'Założenia'!O161</x:f>
        <x:v>0</x:v>
      </x:c>
      <x:c r="P66" s="38" t="n">
        <x:f>'Założenia'!P161</x:f>
        <x:v>0</x:v>
      </x:c>
      <x:c r="Q66" s="38" t="n">
        <x:f>'Założenia'!Q161</x:f>
        <x:v>0</x:v>
      </x:c>
      <x:c r="R66" s="38" t="n">
        <x:f>'Założenia'!R161</x:f>
        <x:v>0</x:v>
      </x:c>
      <x:c r="S66" s="38" t="n">
        <x:f>'Założenia'!S161</x:f>
        <x:v>0</x:v>
      </x:c>
    </x:row>
    <x:row r="67" ht="20" customHeight="1">
      <x:c r="A67" s="3"/>
      <x:c r="B67" s="3"/>
      <x:c r="C67" s="3" t="str">
        <x:v>Minimalny capex grupy w okresie</x:v>
      </x:c>
      <x:c r="D67" s="38" t="n">
        <x:f>'Założenia'!D165</x:f>
        <x:v>37500</x:v>
      </x:c>
      <x:c r="E67" s="38" t="n">
        <x:f>'Założenia'!E165</x:f>
        <x:v>0</x:v>
      </x:c>
      <x:c r="F67" s="38" t="n">
        <x:f>'Założenia'!F165</x:f>
        <x:v>0</x:v>
      </x:c>
      <x:c r="G67" s="38" t="n">
        <x:f>'Założenia'!G165</x:f>
        <x:v>0</x:v>
      </x:c>
      <x:c r="H67" s="38" t="n">
        <x:f>'Założenia'!H165</x:f>
        <x:v>0</x:v>
      </x:c>
      <x:c r="I67" s="38" t="n">
        <x:f>'Założenia'!I165</x:f>
        <x:v>0</x:v>
      </x:c>
      <x:c r="J67" s="38" t="n">
        <x:f>'Założenia'!J165</x:f>
        <x:v>0</x:v>
      </x:c>
      <x:c r="K67" s="38" t="n">
        <x:f>'Założenia'!K165</x:f>
        <x:v>0</x:v>
      </x:c>
      <x:c r="L67" s="38" t="n">
        <x:f>'Założenia'!L165</x:f>
        <x:v>0</x:v>
      </x:c>
      <x:c r="M67" s="38" t="n">
        <x:f>'Założenia'!M165</x:f>
        <x:v>0</x:v>
      </x:c>
      <x:c r="N67" s="38" t="n">
        <x:f>'Założenia'!N165</x:f>
        <x:v>0</x:v>
      </x:c>
      <x:c r="O67" s="38" t="n">
        <x:f>'Założenia'!O165</x:f>
        <x:v>0</x:v>
      </x:c>
      <x:c r="P67" s="38" t="n">
        <x:f>'Założenia'!P165</x:f>
        <x:v>0</x:v>
      </x:c>
      <x:c r="Q67" s="38" t="n">
        <x:f>'Założenia'!Q165</x:f>
        <x:v>0</x:v>
      </x:c>
      <x:c r="R67" s="38" t="n">
        <x:f>'Założenia'!R165</x:f>
        <x:v>0</x:v>
      </x:c>
      <x:c r="S67" s="38" t="n">
        <x:f>'Założenia'!S165</x:f>
        <x:v>0</x:v>
      </x:c>
    </x:row>
    <x:row r="68" ht="23" customHeight="1">
      <x:c r="A68" s="3"/>
      <x:c r="B68" s="3"/>
      <x:c r="C68" s="17" t="str">
        <x:v>Grupa</x:v>
      </x:c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</x:row>
    <x:row r="69" ht="23" customHeight="1">
      <x:c r="A69" s="3"/>
      <x:c r="B69" s="3"/>
      <x:c r="C69" s="45" t="str">
        <x:v>Przychody grupy</x:v>
      </x:c>
      <x:c r="D69" s="46" t="n">
        <x:f>SUM(D20,D33,D51)</x:f>
        <x:v>17858.85</x:v>
      </x:c>
      <x:c r="E69" s="46" t="n">
        <x:f>SUM(E20,E33,E51)</x:f>
        <x:v>92771.66722462798</x:v>
      </x:c>
      <x:c r="F69" s="46" t="n">
        <x:f>SUM(F20,F33,F51)</x:f>
        <x:v>125848.4053093537</x:v>
      </x:c>
      <x:c r="G69" s="46" t="n">
        <x:f>SUM(G20,G33,G51)</x:f>
        <x:v>173172.24169194905</x:v>
      </x:c>
      <x:c r="H69" s="46" t="n">
        <x:f>SUM(H20,H33,H51)</x:f>
        <x:v>241342.39939922869</x:v>
      </x:c>
      <x:c r="I69" s="46" t="n">
        <x:f>SUM(I20,I33,I51)</x:f>
        <x:v>293631.6054176546</x:v>
      </x:c>
      <x:c r="J69" s="46" t="n">
        <x:f>SUM(J20,J33,J51)</x:f>
        <x:v>326936.69386921765</x:v>
      </x:c>
      <x:c r="K69" s="46" t="n">
        <x:f>SUM(K20,K33,K51)</x:f>
        <x:v>364083.55757276696</x:v>
      </x:c>
      <x:c r="L69" s="46" t="n">
        <x:f>SUM(L20,L33,L51)</x:f>
        <x:v>405517.4019714564</x:v>
      </x:c>
      <x:c r="M69" s="46" t="n">
        <x:f>SUM(M20,M33,M51)</x:f>
        <x:v>451737.11984409456</x:v>
      </x:c>
      <x:c r="N69" s="46" t="n">
        <x:f>SUM(N20,N33,N51)</x:f>
        <x:v>479585.0643089135</x:v>
      </x:c>
      <x:c r="O69" s="46" t="n">
        <x:f>SUM(O20,O33,O51)</x:f>
        <x:v>496820.068641198</x:v>
      </x:c>
      <x:c r="P69" s="46" t="n">
        <x:f>SUM(P20,P33,P51)</x:f>
        <x:v>514707.3878378289</x:v>
      </x:c>
      <x:c r="Q69" s="46" t="n">
        <x:f>SUM(Q20,Q33,Q51)</x:f>
        <x:v>533275.2899949545</x:v>
      </x:c>
      <x:c r="R69" s="46" t="n">
        <x:f>SUM(R20,R33,R51)</x:f>
        <x:v>552553.3596326632</x:v>
      </x:c>
      <x:c r="S69" s="46" t="n">
        <x:f>SUM(S20,S33,S51)</x:f>
        <x:v>572572.5657170543</x:v>
      </x:c>
    </x:row>
    <x:row r="70" ht="20" customHeight="1">
      <x:c r="A70" s="3"/>
      <x:c r="B70" s="3"/>
      <x:c r="C70" s="3" t="str">
        <x:v>Koszt SBC grupy</x:v>
      </x:c>
      <x:c r="D70" s="40" t="n">
        <x:f>SUM(D23,D38,D56)</x:f>
        <x:v>1315.6455</x:v>
      </x:c>
      <x:c r="E70" s="40" t="n">
        <x:f>SUM(E23,E38,E56)</x:f>
        <x:v>6846.794793486244</x:v>
      </x:c>
      <x:c r="F70" s="40" t="n">
        <x:f>SUM(F23,F38,F56)</x:f>
        <x:v>9152.813853052654</x:v>
      </x:c>
      <x:c r="G70" s="40" t="n">
        <x:f>SUM(G23,G38,G56)</x:f>
        <x:v>12355.647504587767</x:v>
      </x:c>
      <x:c r="H70" s="40" t="n">
        <x:f>SUM(H23,H38,H56)</x:f>
        <x:v>16814.127920412615</x:v>
      </x:c>
      <x:c r="I70" s="40" t="n">
        <x:f>SUM(I23,I38,I56)</x:f>
        <x:v>19609.816116946105</x:v>
      </x:c>
      <x:c r="J70" s="40" t="n">
        <x:f>SUM(J23,J38,J56)</x:f>
        <x:v>20686.627596370505</x:v>
      </x:c>
      <x:c r="K70" s="40" t="n">
        <x:f>SUM(K23,K38,K56)</x:f>
        <x:v>21826.396681700473</x:v>
      </x:c>
      <x:c r="L70" s="40" t="n">
        <x:f>SUM(L23,L38,L56)</x:f>
        <x:v>23032.64308617119</x:v>
      </x:c>
      <x:c r="M70" s="40" t="n">
        <x:f>SUM(M23,M38,M56)</x:f>
        <x:v>24309.13874272715</x:v>
      </x:c>
      <x:c r="N70" s="40" t="n">
        <x:f>SUM(N23,N38,N56)</x:f>
        <x:v>25105.86349406496</x:v>
      </x:c>
      <x:c r="O70" s="40" t="n">
        <x:f>SUM(O23,O38,O56)</x:f>
        <x:v>25245.354033407042</x:v>
      </x:c>
      <x:c r="P70" s="40" t="n">
        <x:f>SUM(P23,P38,P56)</x:f>
        <x:v>25387.744178194716</x:v>
      </x:c>
      <x:c r="Q70" s="40" t="n">
        <x:f>SUM(Q23,Q38,Q56)</x:f>
        <x:v>25533.15594440959</x:v>
      </x:c>
      <x:c r="R70" s="40" t="n">
        <x:f>SUM(R23,R38,R56)</x:f>
        <x:v>25681.71472669932</x:v>
      </x:c>
      <x:c r="S70" s="40" t="n">
        <x:f>SUM(S23,S38,S56)</x:f>
        <x:v>25833.549420985564</x:v>
      </x:c>
    </x:row>
    <x:row r="71" ht="23" customHeight="1">
      <x:c r="A71" s="3"/>
      <x:c r="B71" s="3"/>
      <x:c r="C71" s="45" t="str">
        <x:v>EBITDA grupy po SBC</x:v>
      </x:c>
      <x:c r="D71" s="46" t="n">
        <x:f>SUM(D24,D39,D57)</x:f>
        <x:v>8739.664</x:v>
      </x:c>
      <x:c r="E71" s="46" t="n">
        <x:f>SUM(E24,E39,E57)</x:f>
        <x:v>46538.93342103454</x:v>
      </x:c>
      <x:c r="F71" s="46" t="n">
        <x:f>SUM(F24,F39,F57)</x:f>
        <x:v>64802.090257201475</x:v>
      </x:c>
      <x:c r="G71" s="46" t="n">
        <x:f>SUM(G24,G39,G57)</x:f>
        <x:v>91065.23934122529</x:v>
      </x:c>
      <x:c r="H71" s="46" t="n">
        <x:f>SUM(H24,H39,H57)</x:f>
        <x:v>129048.54212001685</x:v>
      </x:c>
      <x:c r="I71" s="46" t="n">
        <x:f>SUM(I24,I39,I57)</x:f>
        <x:v>158738.38124888964</x:v>
      </x:c>
      <x:c r="J71" s="46" t="n">
        <x:f>SUM(J24,J39,J57)</x:f>
        <x:v>178103.54792332853</x:v>
      </x:c>
      <x:c r="K71" s="46" t="n">
        <x:f>SUM(K24,K39,K57)</x:f>
        <x:v>199743.57238241137</x:v>
      </x:c>
      <x:c r="L71" s="46" t="n">
        <x:f>SUM(L24,L39,L57)</x:f>
        <x:v>223926.74494419526</x:v>
      </x:c>
      <x:c r="M71" s="46" t="n">
        <x:f>SUM(M24,M39,M57)</x:f>
        <x:v>250954.78324513635</x:v>
      </x:c>
      <x:c r="N71" s="46" t="n">
        <x:f>SUM(N24,N39,N57)</x:f>
        <x:v>266162.2959564327</x:v>
      </x:c>
      <x:c r="O71" s="46" t="n">
        <x:f>SUM(O24,O39,O57)</x:f>
        <x:v>275379.11705027247</x:v>
      </x:c>
      <x:c r="P71" s="46" t="n">
        <x:f>SUM(P24,P39,P57)</x:f>
        <x:v>284929.556539018</x:v>
      </x:c>
      <x:c r="Q71" s="46" t="n">
        <x:f>SUM(Q24,Q39,Q57)</x:f>
        <x:v>294829.0741514389</x:v>
      </x:c>
      <x:c r="R71" s="46" t="n">
        <x:f>SUM(R24,R39,R57)</x:f>
        <x:v>305093.95812796976</x:v>
      </x:c>
      <x:c r="S71" s="46" t="n">
        <x:f>SUM(S24,S39,S57)</x:f>
        <x:v>315741.37591915845</x:v>
      </x:c>
    </x:row>
    <x:row r="72" ht="23" customHeight="1">
      <x:c r="A72" s="3"/>
      <x:c r="B72" s="3"/>
      <x:c r="C72" s="45" t="str">
        <x:v>Ekonomiczny capex grupy</x:v>
      </x:c>
      <x:c r="D72" s="46" t="n">
        <x:f>SUM(D26,D40,D65:D66)</x:f>
        <x:v>37500</x:v>
      </x:c>
      <x:c r="E72" s="46" t="n">
        <x:f>SUM(E26,E40,E65:E66)</x:f>
        <x:v>64238.3358727604</x:v>
      </x:c>
      <x:c r="F72" s="46" t="n">
        <x:f>SUM(F26,F40,F65:F66)</x:f>
        <x:v>99712.59552153166</x:v>
      </x:c>
      <x:c r="G72" s="46" t="n">
        <x:f>SUM(G26,G40,G65:G66)</x:f>
        <x:v>143757.46447033712</x:v>
      </x:c>
      <x:c r="H72" s="46" t="n">
        <x:f>SUM(H26,H40,H65:H66)</x:f>
        <x:v>171788.10047389506</x:v>
      </x:c>
      <x:c r="I72" s="46" t="n">
        <x:f>SUM(I26,I40,I65:I66)</x:f>
        <x:v>131821.90406249</x:v>
      </x:c>
      <x:c r="J72" s="46" t="n">
        <x:f>SUM(J26,J40,J65:J66)</x:f>
        <x:v>144035.91813769276</x:v>
      </x:c>
      <x:c r="K72" s="46" t="n">
        <x:f>SUM(K26,K40,K65:K66)</x:f>
        <x:v>157442.30726996576</x:v>
      </x:c>
      <x:c r="L72" s="46" t="n">
        <x:f>SUM(L26,L40,L65:L66)</x:f>
        <x:v>172156.3061536895</x:v>
      </x:c>
      <x:c r="M72" s="46" t="n">
        <x:f>SUM(M26,M40,M65:M66)</x:f>
        <x:v>176640.58771347598</x:v>
      </x:c>
      <x:c r="N72" s="46" t="n">
        <x:f>SUM(N26,N40,N65:N66)</x:f>
        <x:v>157007.66880530177</x:v>
      </x:c>
      <x:c r="O72" s="46" t="n">
        <x:f>SUM(O26,O40,O65:O66)</x:f>
        <x:v>160996.18980217673</x:v>
      </x:c>
      <x:c r="P72" s="46" t="n">
        <x:f>SUM(P26,P40,P65:P66)</x:f>
        <x:v>165092.73288240022</x:v>
      </x:c>
      <x:c r="Q72" s="46" t="n">
        <x:f>SUM(Q26,Q40,Q65:Q66)</x:f>
        <x:v>169300.1558541751</x:v>
      </x:c>
      <x:c r="R72" s="46" t="n">
        <x:f>SUM(R26,R40,R65:R66)</x:f>
        <x:v>173621.39388598804</x:v>
      </x:c>
      <x:c r="S72" s="46" t="n">
        <x:f>SUM(S26,S40,S65:S66)</x:f>
        <x:v>174625.9200742428</x:v>
      </x:c>
    </x:row>
    <x:row r="73" ht="20" customHeight="1">
      <x:c r="A73" s="3"/>
      <x:c r="B73" s="3"/>
      <x:c r="C73" s="3" t="str">
        <x:v>Przychody w ujęciu rocznym</x:v>
      </x:c>
      <x:c r="D73" s="40" t="n">
        <x:f>D69/D$5</x:f>
        <x:v>71435.4</x:v>
      </x:c>
      <x:c r="E73" s="40" t="n">
        <x:f>E69/E$5</x:f>
        <x:v>92771.66722462798</x:v>
      </x:c>
      <x:c r="F73" s="40" t="n">
        <x:f>F69/F$5</x:f>
        <x:v>125848.4053093537</x:v>
      </x:c>
      <x:c r="G73" s="40" t="n">
        <x:f>G69/G$5</x:f>
        <x:v>173172.24169194905</x:v>
      </x:c>
      <x:c r="H73" s="40" t="n">
        <x:f>H69/H$5</x:f>
        <x:v>241342.39939922869</x:v>
      </x:c>
      <x:c r="I73" s="40" t="n">
        <x:f>I69/I$5</x:f>
        <x:v>293631.6054176546</x:v>
      </x:c>
      <x:c r="J73" s="40" t="n">
        <x:f>J69/J$5</x:f>
        <x:v>326936.69386921765</x:v>
      </x:c>
      <x:c r="K73" s="40" t="n">
        <x:f>K69/K$5</x:f>
        <x:v>364083.55757276696</x:v>
      </x:c>
      <x:c r="L73" s="40" t="n">
        <x:f>L69/L$5</x:f>
        <x:v>405517.4019714564</x:v>
      </x:c>
      <x:c r="M73" s="40" t="n">
        <x:f>M69/M$5</x:f>
        <x:v>451737.11984409456</x:v>
      </x:c>
      <x:c r="N73" s="40" t="n">
        <x:f>N69/N$5</x:f>
        <x:v>479585.0643089135</x:v>
      </x:c>
      <x:c r="O73" s="40" t="n">
        <x:f>O69/O$5</x:f>
        <x:v>496820.068641198</x:v>
      </x:c>
      <x:c r="P73" s="40" t="n">
        <x:f>P69/P$5</x:f>
        <x:v>514707.3878378289</x:v>
      </x:c>
      <x:c r="Q73" s="40" t="n">
        <x:f>Q69/Q$5</x:f>
        <x:v>533275.2899949545</x:v>
      </x:c>
      <x:c r="R73" s="40" t="n">
        <x:f>R69/R$5</x:f>
        <x:v>552553.3596326632</x:v>
      </x:c>
      <x:c r="S73" s="40" t="n">
        <x:f>S69/S$5</x:f>
        <x:v>572572.5657170543</x:v>
      </x:c>
    </x:row>
    <x:row r="74" ht="20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0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0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0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</x:row>
    <x:row r="78" ht="20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</x:row>
    <x:row r="79" ht="20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  <x:c r="Q79" s="3"/>
      <x:c r="R79" s="3"/>
      <x:c r="S79" s="3"/>
    </x:row>
    <x:row r="80" ht="20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  <x:c r="Q80" s="3"/>
      <x:c r="R80" s="3"/>
      <x:c r="S80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aktywa i amortyzacja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Space</x:v>
      </x:c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  <x:c r="Q8" s="17"/>
      <x:c r="R8" s="17"/>
      <x:c r="S8" s="17"/>
    </x:row>
    <x:row r="9" ht="20" customHeight="1">
      <x:c r="A9" s="3"/>
      <x:c r="B9" s="3"/>
      <x:c r="C9" s="3" t="str">
        <x:v>Wartość netto na początek</x:v>
      </x:c>
      <x:c r="D9" s="38" t="n">
        <x:f>'Założenia'!$D$204</x:f>
        <x:v>9000</x:v>
      </x:c>
      <x:c r="E9" s="40" t="n">
        <x:f>D30</x:f>
        <x:v>9912.94642857143</x:v>
      </x:c>
      <x:c r="F9" s="40" t="n">
        <x:f>E30</x:f>
        <x:v>12994.504785622228</x:v>
      </x:c>
      <x:c r="G9" s="40" t="n">
        <x:f>F30</x:f>
        <x:v>15359.448852655954</x:v>
      </x:c>
      <x:c r="H9" s="40" t="n">
        <x:f>G30</x:f>
        <x:v>17046.66096801427</x:v>
      </x:c>
      <x:c r="I9" s="40" t="n">
        <x:f>H30</x:f>
        <x:v>18092.91377692221</x:v>
      </x:c>
      <x:c r="J9" s="40" t="n">
        <x:f>I30</x:f>
        <x:v>18639.025872167793</x:v>
      </x:c>
      <x:c r="K9" s="40" t="n">
        <x:f>J30</x:f>
        <x:v>18698.177371645157</x:v>
      </x:c>
      <x:c r="L9" s="40" t="n">
        <x:f>K30</x:f>
        <x:v>18604.629631410688</x:v>
      </x:c>
      <x:c r="M9" s="40" t="n">
        <x:f>L30</x:f>
        <x:v>19013.734398893837</x:v>
      </x:c>
      <x:c r="N9" s="40" t="n">
        <x:f>M30</x:f>
        <x:v>18973.371296323618</x:v>
      </x:c>
      <x:c r="O9" s="40" t="n">
        <x:f>N30</x:f>
        <x:v>18549.342128631102</x:v>
      </x:c>
      <x:c r="P9" s="40" t="n">
        <x:f>O30</x:f>
        <x:v>18077.751540741883</x:v>
      </x:c>
      <x:c r="Q9" s="40" t="n">
        <x:f>P30</x:f>
        <x:v>17678.662823975123</x:v>
      </x:c>
      <x:c r="R9" s="40" t="n">
        <x:f>Q30</x:f>
        <x:v>17332.859874057838</x:v>
      </x:c>
      <x:c r="S9" s="40" t="n">
        <x:f>R30</x:f>
        <x:v>17022.39577179246</x:v>
      </x:c>
    </x:row>
    <x:row r="10" ht="20" customHeight="1">
      <x:c r="A10" s="3"/>
      <x:c r="B10" s="3"/>
      <x:c r="C10" s="3" t="str">
        <x:v>Aktywa oddane do użycia</x:v>
      </x:c>
      <x:c r="D10" s="38" t="n">
        <x:f>'Operacje'!D40</x:f>
        <x:v>1250</x:v>
      </x:c>
      <x:c r="E10" s="38" t="n">
        <x:f>'Operacje'!E40</x:f>
        <x:v>4728.708045015879</x:v>
      </x:c>
      <x:c r="F10" s="38" t="n">
        <x:f>'Operacje'!F40</x:f>
        <x:v>4472.13595499958</x:v>
      </x:c>
      <x:c r="G10" s="38" t="n">
        <x:f>'Operacje'!G40</x:f>
        <x:v>4229.485053762257</x:v>
      </x:c>
      <x:c r="H10" s="38" t="n">
        <x:f>'Operacje'!H40</x:f>
        <x:v>4000</x:v>
      </x:c>
      <x:c r="I10" s="38" t="n">
        <x:f>'Operacje'!I40</x:f>
        <x:v>3894.588722460672</x:v>
      </x:c>
      <x:c r="J10" s="38" t="n">
        <x:f>'Operacje'!J40</x:f>
        <x:v>3791.9553292794635</x:v>
      </x:c>
      <x:c r="K10" s="38" t="n">
        <x:f>'Operacje'!K40</x:f>
        <x:v>3692.026615371611</x:v>
      </x:c>
      <x:c r="L10" s="38" t="n">
        <x:f>'Operacje'!L40</x:f>
        <x:v>3594.7313048127307</x:v>
      </x:c>
      <x:c r="M10" s="38" t="n">
        <x:f>'Operacje'!M40</x:f>
        <x:v>3500</x:v>
      </x:c>
      <x:c r="N10" s="38" t="n">
        <x:f>'Operacje'!N40</x:f>
        <x:v>3448.1146682923227</x:v>
      </x:c>
      <x:c r="O10" s="38" t="n">
        <x:f>'Operacje'!O40</x:f>
        <x:v>3396.998504483621</x:v>
      </x:c>
      <x:c r="P10" s="38" t="n">
        <x:f>'Operacje'!P40</x:f>
        <x:v>3346.640106136302</x:v>
      </x:c>
      <x:c r="Q10" s="38" t="n">
        <x:f>'Operacje'!Q40</x:f>
        <x:v>3297.0282398468457</x:v>
      </x:c>
      <x:c r="R10" s="38" t="n">
        <x:f>'Operacje'!R40</x:f>
        <x:v>3248.1518387399788</x:v>
      </x:c>
      <x:c r="S10" s="38" t="n">
        <x:f>'Operacje'!S40</x:f>
        <x:v>3200</x:v>
      </x:c>
    </x:row>
    <x:row r="11" ht="20" customHeight="1">
      <x:c r="A11" s="3"/>
      <x:c r="B11" s="3"/>
      <x:c r="C11" s="3" t="str">
        <x:v>Żywotność nowych aktywów (lata)</x:v>
      </x:c>
      <x:c r="D11" s="38" t="n">
        <x:f>'Założenia'!$D$195</x:f>
        <x:v>10</x:v>
      </x:c>
      <x:c r="E11" s="38" t="n">
        <x:f>'Założenia'!$D$195</x:f>
        <x:v>10</x:v>
      </x:c>
      <x:c r="F11" s="38" t="n">
        <x:f>'Założenia'!$D$195</x:f>
        <x:v>10</x:v>
      </x:c>
      <x:c r="G11" s="38" t="n">
        <x:f>'Założenia'!$D$195</x:f>
        <x:v>10</x:v>
      </x:c>
      <x:c r="H11" s="38" t="n">
        <x:f>'Założenia'!$D$195</x:f>
        <x:v>10</x:v>
      </x:c>
      <x:c r="I11" s="38" t="n">
        <x:f>'Założenia'!$D$195</x:f>
        <x:v>10</x:v>
      </x:c>
      <x:c r="J11" s="38" t="n">
        <x:f>'Założenia'!$D$195</x:f>
        <x:v>10</x:v>
      </x:c>
      <x:c r="K11" s="38" t="n">
        <x:f>'Założenia'!$D$195</x:f>
        <x:v>10</x:v>
      </x:c>
      <x:c r="L11" s="38" t="n">
        <x:f>'Założenia'!$D$195</x:f>
        <x:v>10</x:v>
      </x:c>
      <x:c r="M11" s="38" t="n">
        <x:f>'Założenia'!$D$195</x:f>
        <x:v>10</x:v>
      </x:c>
      <x:c r="N11" s="38" t="n">
        <x:f>'Założenia'!$D$195</x:f>
        <x:v>10</x:v>
      </x:c>
      <x:c r="O11" s="38" t="n">
        <x:f>'Założenia'!$D$195</x:f>
        <x:v>10</x:v>
      </x:c>
      <x:c r="P11" s="38" t="n">
        <x:f>'Założenia'!$D$195</x:f>
        <x:v>10</x:v>
      </x:c>
      <x:c r="Q11" s="38" t="n">
        <x:f>'Założenia'!$D$195</x:f>
        <x:v>10</x:v>
      </x:c>
      <x:c r="R11" s="38" t="n">
        <x:f>'Założenia'!$D$195</x:f>
        <x:v>10</x:v>
      </x:c>
      <x:c r="S11" s="38" t="n">
        <x:f>'Założenia'!$D$195</x:f>
        <x:v>10</x:v>
      </x:c>
    </x:row>
    <x:row r="12" ht="20" customHeight="1">
      <x:c r="A12" s="3"/>
      <x:c r="B12" s="3"/>
      <x:c r="C12" s="3" t="str">
        <x:v>D&amp;A aktywów początkowych</x:v>
      </x:c>
      <x:c r="D12" s="38" t="n">
        <x:f>'Założenia'!$D$204/'Założenia'!$E$204*MAX(0,MIN(D$6,'Założenia'!$E$204)-MAX(D$3,0))</x:f>
        <x:v>321.42857142857144</x:v>
      </x:c>
      <x:c r="E12" s="38" t="n">
        <x:f>'Założenia'!$D$204/'Założenia'!$E$204*MAX(0,MIN(E$6,'Założenia'!$E$204)-MAX(E$3,0))</x:f>
        <x:v>1285.7142857142858</x:v>
      </x:c>
      <x:c r="F12" s="38" t="n">
        <x:f>'Założenia'!$D$204/'Założenia'!$E$204*MAX(0,MIN(F$6,'Założenia'!$E$204)-MAX(F$3,0))</x:f>
        <x:v>1285.7142857142858</x:v>
      </x:c>
      <x:c r="G12" s="38" t="n">
        <x:f>'Założenia'!$D$204/'Założenia'!$E$204*MAX(0,MIN(G$6,'Założenia'!$E$204)-MAX(G$3,0))</x:f>
        <x:v>1285.7142857142858</x:v>
      </x:c>
      <x:c r="H12" s="38" t="n">
        <x:f>'Założenia'!$D$204/'Założenia'!$E$204*MAX(0,MIN(H$6,'Założenia'!$E$204)-MAX(H$3,0))</x:f>
        <x:v>1285.7142857142858</x:v>
      </x:c>
      <x:c r="I12" s="38" t="n">
        <x:f>'Założenia'!$D$204/'Założenia'!$E$204*MAX(0,MIN(I$6,'Założenia'!$E$204)-MAX(I$3,0))</x:f>
        <x:v>1285.7142857142858</x:v>
      </x:c>
      <x:c r="J12" s="38" t="n">
        <x:f>'Założenia'!$D$204/'Założenia'!$E$204*MAX(0,MIN(J$6,'Założenia'!$E$204)-MAX(J$3,0))</x:f>
        <x:v>1285.7142857142858</x:v>
      </x:c>
      <x:c r="K12" s="38" t="n">
        <x:f>'Założenia'!$D$204/'Założenia'!$E$204*MAX(0,MIN(K$6,'Założenia'!$E$204)-MAX(K$3,0))</x:f>
        <x:v>964.2857142857143</x:v>
      </x:c>
      <x:c r="L12" s="38" t="n">
        <x:f>'Założenia'!$D$204/'Założenia'!$E$204*MAX(0,MIN(L$6,'Założenia'!$E$204)-MAX(L$3,0))</x:f>
        <x:v>0</x:v>
      </x:c>
      <x:c r="M12" s="38" t="n">
        <x:f>'Założenia'!$D$204/'Założenia'!$E$204*MAX(0,MIN(M$6,'Założenia'!$E$204)-MAX(M$3,0))</x:f>
        <x:v>0</x:v>
      </x:c>
      <x:c r="N12" s="38" t="n">
        <x:f>'Założenia'!$D$204/'Założenia'!$E$204*MAX(0,MIN(N$6,'Założenia'!$E$204)-MAX(N$3,0))</x:f>
        <x:v>0</x:v>
      </x:c>
      <x:c r="O12" s="38" t="n">
        <x:f>'Założenia'!$D$204/'Założenia'!$E$204*MAX(0,MIN(O$6,'Założenia'!$E$204)-MAX(O$3,0))</x:f>
        <x:v>0</x:v>
      </x:c>
      <x:c r="P12" s="38" t="n">
        <x:f>'Założenia'!$D$204/'Założenia'!$E$204*MAX(0,MIN(P$6,'Założenia'!$E$204)-MAX(P$3,0))</x:f>
        <x:v>0</x:v>
      </x:c>
      <x:c r="Q12" s="38" t="n">
        <x:f>'Założenia'!$D$204/'Założenia'!$E$204*MAX(0,MIN(Q$6,'Założenia'!$E$204)-MAX(Q$3,0))</x:f>
        <x:v>0</x:v>
      </x:c>
      <x:c r="R12" s="38" t="n">
        <x:f>'Założenia'!$D$204/'Założenia'!$E$204*MAX(0,MIN(R$6,'Założenia'!$E$204)-MAX(R$3,0))</x:f>
        <x:v>0</x:v>
      </x:c>
      <x:c r="S12" s="38" t="n">
        <x:f>'Założenia'!$D$204/'Założenia'!$E$204*MAX(0,MIN(S$6,'Założenia'!$E$204)-MAX(S$3,0))</x:f>
        <x:v>0</x:v>
      </x:c>
    </x:row>
    <x:row r="13" ht="20" customHeight="1">
      <x:c r="A13" s="3"/>
      <x:c r="B13" s="3"/>
      <x:c r="C13" s="3" t="str">
        <x:v>D&amp;A nakładów Q4:26E</x:v>
      </x:c>
      <x:c r="D13" s="40" t="n">
        <x:f>D10/D11*MAX(0,MIN(D$6,(D$3+D$6)/2+D11)-MAX(D$3,(D$3+D$6)/2))</x:f>
        <x:v>15.625</x:v>
      </x:c>
      <x:c r="E13" s="40" t="n">
        <x:f>D10/D11*MAX(0,MIN(E$6,(D$3+D$6)/2+D11)-MAX(E$3,(D$3+D$6)/2))</x:f>
        <x:v>125</x:v>
      </x:c>
      <x:c r="F13" s="40" t="n">
        <x:f>D10/D11*MAX(0,MIN(F$6,(D$3+D$6)/2+D11)-MAX(F$3,(D$3+D$6)/2))</x:f>
        <x:v>125</x:v>
      </x:c>
      <x:c r="G13" s="40" t="n">
        <x:f>D10/D11*MAX(0,MIN(G$6,(D$3+D$6)/2+D11)-MAX(G$3,(D$3+D$6)/2))</x:f>
        <x:v>125</x:v>
      </x:c>
      <x:c r="H13" s="40" t="n">
        <x:f>D10/D11*MAX(0,MIN(H$6,(D$3+D$6)/2+D11)-MAX(H$3,(D$3+D$6)/2))</x:f>
        <x:v>125</x:v>
      </x:c>
      <x:c r="I13" s="40" t="n">
        <x:f>D10/D11*MAX(0,MIN(I$6,(D$3+D$6)/2+D11)-MAX(I$3,(D$3+D$6)/2))</x:f>
        <x:v>125</x:v>
      </x:c>
      <x:c r="J13" s="40" t="n">
        <x:f>D10/D11*MAX(0,MIN(J$6,(D$3+D$6)/2+D11)-MAX(J$3,(D$3+D$6)/2))</x:f>
        <x:v>125</x:v>
      </x:c>
      <x:c r="K13" s="40" t="n">
        <x:f>D10/D11*MAX(0,MIN(K$6,(D$3+D$6)/2+D11)-MAX(K$3,(D$3+D$6)/2))</x:f>
        <x:v>125</x:v>
      </x:c>
      <x:c r="L13" s="40" t="n">
        <x:f>D10/D11*MAX(0,MIN(L$6,(D$3+D$6)/2+D11)-MAX(L$3,(D$3+D$6)/2))</x:f>
        <x:v>125</x:v>
      </x:c>
      <x:c r="M13" s="40" t="n">
        <x:f>D10/D11*MAX(0,MIN(M$6,(D$3+D$6)/2+D11)-MAX(M$3,(D$3+D$6)/2))</x:f>
        <x:v>125</x:v>
      </x:c>
      <x:c r="N13" s="40" t="n">
        <x:f>D10/D11*MAX(0,MIN(N$6,(D$3+D$6)/2+D11)-MAX(N$3,(D$3+D$6)/2))</x:f>
        <x:v>109.375</x:v>
      </x:c>
      <x:c r="O13" s="40" t="n">
        <x:f>D10/D11*MAX(0,MIN(O$6,(D$3+D$6)/2+D11)-MAX(O$3,(D$3+D$6)/2))</x:f>
        <x:v>0</x:v>
      </x:c>
      <x:c r="P13" s="40" t="n">
        <x:f>D10/D11*MAX(0,MIN(P$6,(D$3+D$6)/2+D11)-MAX(P$3,(D$3+D$6)/2))</x:f>
        <x:v>0</x:v>
      </x:c>
      <x:c r="Q13" s="40" t="n">
        <x:f>D10/D11*MAX(0,MIN(Q$6,(D$3+D$6)/2+D11)-MAX(Q$3,(D$3+D$6)/2))</x:f>
        <x:v>0</x:v>
      </x:c>
      <x:c r="R13" s="40" t="n">
        <x:f>D10/D11*MAX(0,MIN(R$6,(D$3+D$6)/2+D11)-MAX(R$3,(D$3+D$6)/2))</x:f>
        <x:v>0</x:v>
      </x:c>
      <x:c r="S13" s="40" t="n">
        <x:f>D10/D11*MAX(0,MIN(S$6,(D$3+D$6)/2+D11)-MAX(S$3,(D$3+D$6)/2))</x:f>
        <x:v>0</x:v>
      </x:c>
    </x:row>
    <x:row r="14" ht="20" customHeight="1">
      <x:c r="A14" s="3"/>
      <x:c r="B14" s="3"/>
      <x:c r="C14" s="3" t="str">
        <x:v>D&amp;A nakładów 2027E</x:v>
      </x:c>
      <x:c r="D14" s="40" t="n">
        <x:f>0</x:f>
        <x:v>0</x:v>
      </x:c>
      <x:c r="E14" s="40" t="n">
        <x:f>E10/E11*MAX(0,MIN(E$6,(E$3+E$6)/2+E11)-MAX(E$3,(E$3+E$6)/2))</x:f>
        <x:v>236.43540225079397</x:v>
      </x:c>
      <x:c r="F14" s="40" t="n">
        <x:f>E10/E11*MAX(0,MIN(F$6,(E$3+E$6)/2+E11)-MAX(F$3,(E$3+E$6)/2))</x:f>
        <x:v>472.87080450158794</x:v>
      </x:c>
      <x:c r="G14" s="40" t="n">
        <x:f>E10/E11*MAX(0,MIN(G$6,(E$3+E$6)/2+E11)-MAX(G$3,(E$3+E$6)/2))</x:f>
        <x:v>472.87080450158794</x:v>
      </x:c>
      <x:c r="H14" s="40" t="n">
        <x:f>E10/E11*MAX(0,MIN(H$6,(E$3+E$6)/2+E11)-MAX(H$3,(E$3+E$6)/2))</x:f>
        <x:v>472.87080450158794</x:v>
      </x:c>
      <x:c r="I14" s="40" t="n">
        <x:f>E10/E11*MAX(0,MIN(I$6,(E$3+E$6)/2+E11)-MAX(I$3,(E$3+E$6)/2))</x:f>
        <x:v>472.87080450158794</x:v>
      </x:c>
      <x:c r="J14" s="40" t="n">
        <x:f>E10/E11*MAX(0,MIN(J$6,(E$3+E$6)/2+E11)-MAX(J$3,(E$3+E$6)/2))</x:f>
        <x:v>472.87080450158794</x:v>
      </x:c>
      <x:c r="K14" s="40" t="n">
        <x:f>E10/E11*MAX(0,MIN(K$6,(E$3+E$6)/2+E11)-MAX(K$3,(E$3+E$6)/2))</x:f>
        <x:v>472.87080450158794</x:v>
      </x:c>
      <x:c r="L14" s="40" t="n">
        <x:f>E10/E11*MAX(0,MIN(L$6,(E$3+E$6)/2+E11)-MAX(L$3,(E$3+E$6)/2))</x:f>
        <x:v>472.87080450158794</x:v>
      </x:c>
      <x:c r="M14" s="40" t="n">
        <x:f>E10/E11*MAX(0,MIN(M$6,(E$3+E$6)/2+E11)-MAX(M$3,(E$3+E$6)/2))</x:f>
        <x:v>472.87080450158794</x:v>
      </x:c>
      <x:c r="N14" s="40" t="n">
        <x:f>E10/E11*MAX(0,MIN(N$6,(E$3+E$6)/2+E11)-MAX(N$3,(E$3+E$6)/2))</x:f>
        <x:v>472.87080450158794</x:v>
      </x:c>
      <x:c r="O14" s="40" t="n">
        <x:f>E10/E11*MAX(0,MIN(O$6,(E$3+E$6)/2+E11)-MAX(O$3,(E$3+E$6)/2))</x:f>
        <x:v>236.43540225079397</x:v>
      </x:c>
      <x:c r="P14" s="40" t="n">
        <x:f>E10/E11*MAX(0,MIN(P$6,(E$3+E$6)/2+E11)-MAX(P$3,(E$3+E$6)/2))</x:f>
        <x:v>0</x:v>
      </x:c>
      <x:c r="Q14" s="40" t="n">
        <x:f>E10/E11*MAX(0,MIN(Q$6,(E$3+E$6)/2+E11)-MAX(Q$3,(E$3+E$6)/2))</x:f>
        <x:v>0</x:v>
      </x:c>
      <x:c r="R14" s="40" t="n">
        <x:f>E10/E11*MAX(0,MIN(R$6,(E$3+E$6)/2+E11)-MAX(R$3,(E$3+E$6)/2))</x:f>
        <x:v>0</x:v>
      </x:c>
      <x:c r="S14" s="40" t="n">
        <x:f>E10/E11*MAX(0,MIN(S$6,(E$3+E$6)/2+E11)-MAX(S$3,(E$3+E$6)/2))</x:f>
        <x:v>0</x:v>
      </x:c>
    </x:row>
    <x:row r="15" ht="20" customHeight="1">
      <x:c r="A15" s="3"/>
      <x:c r="B15" s="3"/>
      <x:c r="C15" s="3" t="str">
        <x:v>D&amp;A nakładów 2028E</x:v>
      </x:c>
      <x:c r="D15" s="40" t="n">
        <x:f>0</x:f>
        <x:v>0</x:v>
      </x:c>
      <x:c r="E15" s="40" t="n">
        <x:f>0</x:f>
        <x:v>0</x:v>
      </x:c>
      <x:c r="F15" s="40" t="n">
        <x:f>F10/F11*MAX(0,MIN(F$6,(F$3+F$6)/2+F11)-MAX(F$3,(F$3+F$6)/2))</x:f>
        <x:v>223.60679774997897</x:v>
      </x:c>
      <x:c r="G15" s="40" t="n">
        <x:f>F10/F11*MAX(0,MIN(G$6,(F$3+F$6)/2+F11)-MAX(G$3,(F$3+F$6)/2))</x:f>
        <x:v>447.21359549995793</x:v>
      </x:c>
      <x:c r="H15" s="40" t="n">
        <x:f>F10/F11*MAX(0,MIN(H$6,(F$3+F$6)/2+F11)-MAX(H$3,(F$3+F$6)/2))</x:f>
        <x:v>447.21359549995793</x:v>
      </x:c>
      <x:c r="I15" s="40" t="n">
        <x:f>F10/F11*MAX(0,MIN(I$6,(F$3+F$6)/2+F11)-MAX(I$3,(F$3+F$6)/2))</x:f>
        <x:v>447.21359549995793</x:v>
      </x:c>
      <x:c r="J15" s="40" t="n">
        <x:f>F10/F11*MAX(0,MIN(J$6,(F$3+F$6)/2+F11)-MAX(J$3,(F$3+F$6)/2))</x:f>
        <x:v>447.21359549995793</x:v>
      </x:c>
      <x:c r="K15" s="40" t="n">
        <x:f>F10/F11*MAX(0,MIN(K$6,(F$3+F$6)/2+F11)-MAX(K$3,(F$3+F$6)/2))</x:f>
        <x:v>447.21359549995793</x:v>
      </x:c>
      <x:c r="L15" s="40" t="n">
        <x:f>F10/F11*MAX(0,MIN(L$6,(F$3+F$6)/2+F11)-MAX(L$3,(F$3+F$6)/2))</x:f>
        <x:v>447.21359549995793</x:v>
      </x:c>
      <x:c r="M15" s="40" t="n">
        <x:f>F10/F11*MAX(0,MIN(M$6,(F$3+F$6)/2+F11)-MAX(M$3,(F$3+F$6)/2))</x:f>
        <x:v>447.21359549995793</x:v>
      </x:c>
      <x:c r="N15" s="40" t="n">
        <x:f>F10/F11*MAX(0,MIN(N$6,(F$3+F$6)/2+F11)-MAX(N$3,(F$3+F$6)/2))</x:f>
        <x:v>447.21359549995793</x:v>
      </x:c>
      <x:c r="O15" s="40" t="n">
        <x:f>F10/F11*MAX(0,MIN(O$6,(F$3+F$6)/2+F11)-MAX(O$3,(F$3+F$6)/2))</x:f>
        <x:v>447.21359549995793</x:v>
      </x:c>
      <x:c r="P15" s="40" t="n">
        <x:f>F10/F11*MAX(0,MIN(P$6,(F$3+F$6)/2+F11)-MAX(P$3,(F$3+F$6)/2))</x:f>
        <x:v>223.60679774997897</x:v>
      </x:c>
      <x:c r="Q15" s="40" t="n">
        <x:f>F10/F11*MAX(0,MIN(Q$6,(F$3+F$6)/2+F11)-MAX(Q$3,(F$3+F$6)/2))</x:f>
        <x:v>0</x:v>
      </x:c>
      <x:c r="R15" s="40" t="n">
        <x:f>F10/F11*MAX(0,MIN(R$6,(F$3+F$6)/2+F11)-MAX(R$3,(F$3+F$6)/2))</x:f>
        <x:v>0</x:v>
      </x:c>
      <x:c r="S15" s="40" t="n">
        <x:f>F10/F11*MAX(0,MIN(S$6,(F$3+F$6)/2+F11)-MAX(S$3,(F$3+F$6)/2))</x:f>
        <x:v>0</x:v>
      </x:c>
    </x:row>
    <x:row r="16" ht="20" customHeight="1">
      <x:c r="A16" s="3"/>
      <x:c r="B16" s="3"/>
      <x:c r="C16" s="3" t="str">
        <x:v>D&amp;A nakładów 2029E</x:v>
      </x:c>
      <x:c r="D16" s="40" t="n">
        <x:f>0</x:f>
        <x:v>0</x:v>
      </x:c>
      <x:c r="E16" s="40" t="n">
        <x:f>0</x:f>
        <x:v>0</x:v>
      </x:c>
      <x:c r="F16" s="40" t="n">
        <x:f>0</x:f>
        <x:v>0</x:v>
      </x:c>
      <x:c r="G16" s="40" t="n">
        <x:f>G10/G11*MAX(0,MIN(G$6,(G$3+G$6)/2+G11)-MAX(G$3,(G$3+G$6)/2))</x:f>
        <x:v>211.47425268811284</x:v>
      </x:c>
      <x:c r="H16" s="40" t="n">
        <x:f>G10/G11*MAX(0,MIN(H$6,(G$3+G$6)/2+G11)-MAX(H$3,(G$3+G$6)/2))</x:f>
        <x:v>422.9485053762257</x:v>
      </x:c>
      <x:c r="I16" s="40" t="n">
        <x:f>G10/G11*MAX(0,MIN(I$6,(G$3+G$6)/2+G11)-MAX(I$3,(G$3+G$6)/2))</x:f>
        <x:v>422.9485053762257</x:v>
      </x:c>
      <x:c r="J16" s="40" t="n">
        <x:f>G10/G11*MAX(0,MIN(J$6,(G$3+G$6)/2+G11)-MAX(J$3,(G$3+G$6)/2))</x:f>
        <x:v>422.9485053762257</x:v>
      </x:c>
      <x:c r="K16" s="40" t="n">
        <x:f>G10/G11*MAX(0,MIN(K$6,(G$3+G$6)/2+G11)-MAX(K$3,(G$3+G$6)/2))</x:f>
        <x:v>422.9485053762257</x:v>
      </x:c>
      <x:c r="L16" s="40" t="n">
        <x:f>G10/G11*MAX(0,MIN(L$6,(G$3+G$6)/2+G11)-MAX(L$3,(G$3+G$6)/2))</x:f>
        <x:v>422.9485053762257</x:v>
      </x:c>
      <x:c r="M16" s="40" t="n">
        <x:f>G10/G11*MAX(0,MIN(M$6,(G$3+G$6)/2+G11)-MAX(M$3,(G$3+G$6)/2))</x:f>
        <x:v>422.9485053762257</x:v>
      </x:c>
      <x:c r="N16" s="40" t="n">
        <x:f>G10/G11*MAX(0,MIN(N$6,(G$3+G$6)/2+G11)-MAX(N$3,(G$3+G$6)/2))</x:f>
        <x:v>422.9485053762257</x:v>
      </x:c>
      <x:c r="O16" s="40" t="n">
        <x:f>G10/G11*MAX(0,MIN(O$6,(G$3+G$6)/2+G11)-MAX(O$3,(G$3+G$6)/2))</x:f>
        <x:v>422.9485053762257</x:v>
      </x:c>
      <x:c r="P16" s="40" t="n">
        <x:f>G10/G11*MAX(0,MIN(P$6,(G$3+G$6)/2+G11)-MAX(P$3,(G$3+G$6)/2))</x:f>
        <x:v>422.9485053762257</x:v>
      </x:c>
      <x:c r="Q16" s="40" t="n">
        <x:f>G10/G11*MAX(0,MIN(Q$6,(G$3+G$6)/2+G11)-MAX(Q$3,(G$3+G$6)/2))</x:f>
        <x:v>211.47425268811284</x:v>
      </x:c>
      <x:c r="R16" s="40" t="n">
        <x:f>G10/G11*MAX(0,MIN(R$6,(G$3+G$6)/2+G11)-MAX(R$3,(G$3+G$6)/2))</x:f>
        <x:v>0</x:v>
      </x:c>
      <x:c r="S16" s="40" t="n">
        <x:f>G10/G11*MAX(0,MIN(S$6,(G$3+G$6)/2+G11)-MAX(S$3,(G$3+G$6)/2))</x:f>
        <x:v>0</x:v>
      </x:c>
    </x:row>
    <x:row r="17" ht="20" customHeight="1">
      <x:c r="A17" s="3"/>
      <x:c r="B17" s="3"/>
      <x:c r="C17" s="3" t="str">
        <x:v>D&amp;A nakładów 2030E</x:v>
      </x:c>
      <x:c r="D17" s="40" t="n">
        <x:f>0</x:f>
        <x:v>0</x:v>
      </x:c>
      <x:c r="E17" s="40" t="n">
        <x:f>0</x:f>
        <x:v>0</x:v>
      </x:c>
      <x:c r="F17" s="40" t="n">
        <x:f>0</x:f>
        <x:v>0</x:v>
      </x:c>
      <x:c r="G17" s="40" t="n">
        <x:f>0</x:f>
        <x:v>0</x:v>
      </x:c>
      <x:c r="H17" s="40" t="n">
        <x:f>H10/H11*MAX(0,MIN(H$6,(H$3+H$6)/2+H11)-MAX(H$3,(H$3+H$6)/2))</x:f>
        <x:v>200</x:v>
      </x:c>
      <x:c r="I17" s="40" t="n">
        <x:f>H10/H11*MAX(0,MIN(I$6,(H$3+H$6)/2+H11)-MAX(I$3,(H$3+H$6)/2))</x:f>
        <x:v>400</x:v>
      </x:c>
      <x:c r="J17" s="40" t="n">
        <x:f>H10/H11*MAX(0,MIN(J$6,(H$3+H$6)/2+H11)-MAX(J$3,(H$3+H$6)/2))</x:f>
        <x:v>400</x:v>
      </x:c>
      <x:c r="K17" s="40" t="n">
        <x:f>H10/H11*MAX(0,MIN(K$6,(H$3+H$6)/2+H11)-MAX(K$3,(H$3+H$6)/2))</x:f>
        <x:v>400</x:v>
      </x:c>
      <x:c r="L17" s="40" t="n">
        <x:f>H10/H11*MAX(0,MIN(L$6,(H$3+H$6)/2+H11)-MAX(L$3,(H$3+H$6)/2))</x:f>
        <x:v>400</x:v>
      </x:c>
      <x:c r="M17" s="40" t="n">
        <x:f>H10/H11*MAX(0,MIN(M$6,(H$3+H$6)/2+H11)-MAX(M$3,(H$3+H$6)/2))</x:f>
        <x:v>400</x:v>
      </x:c>
      <x:c r="N17" s="40" t="n">
        <x:f>H10/H11*MAX(0,MIN(N$6,(H$3+H$6)/2+H11)-MAX(N$3,(H$3+H$6)/2))</x:f>
        <x:v>400</x:v>
      </x:c>
      <x:c r="O17" s="40" t="n">
        <x:f>H10/H11*MAX(0,MIN(O$6,(H$3+H$6)/2+H11)-MAX(O$3,(H$3+H$6)/2))</x:f>
        <x:v>400</x:v>
      </x:c>
      <x:c r="P17" s="40" t="n">
        <x:f>H10/H11*MAX(0,MIN(P$6,(H$3+H$6)/2+H11)-MAX(P$3,(H$3+H$6)/2))</x:f>
        <x:v>400</x:v>
      </x:c>
      <x:c r="Q17" s="40" t="n">
        <x:f>H10/H11*MAX(0,MIN(Q$6,(H$3+H$6)/2+H11)-MAX(Q$3,(H$3+H$6)/2))</x:f>
        <x:v>400</x:v>
      </x:c>
      <x:c r="R17" s="40" t="n">
        <x:f>H10/H11*MAX(0,MIN(R$6,(H$3+H$6)/2+H11)-MAX(R$3,(H$3+H$6)/2))</x:f>
        <x:v>200</x:v>
      </x:c>
      <x:c r="S17" s="40" t="n">
        <x:f>H10/H11*MAX(0,MIN(S$6,(H$3+H$6)/2+H11)-MAX(S$3,(H$3+H$6)/2))</x:f>
        <x:v>0</x:v>
      </x:c>
    </x:row>
    <x:row r="18" ht="20" customHeight="1">
      <x:c r="A18" s="3"/>
      <x:c r="B18" s="3"/>
      <x:c r="C18" s="3" t="str">
        <x:v>D&amp;A nakładów 2031E</x:v>
      </x:c>
      <x:c r="D18" s="40" t="n">
        <x:f>0</x:f>
        <x:v>0</x:v>
      </x:c>
      <x:c r="E18" s="40" t="n">
        <x:f>0</x:f>
        <x:v>0</x:v>
      </x:c>
      <x:c r="F18" s="40" t="n">
        <x:f>0</x:f>
        <x:v>0</x:v>
      </x:c>
      <x:c r="G18" s="40" t="n">
        <x:f>0</x:f>
        <x:v>0</x:v>
      </x:c>
      <x:c r="H18" s="40" t="n">
        <x:f>0</x:f>
        <x:v>0</x:v>
      </x:c>
      <x:c r="I18" s="40" t="n">
        <x:f>I10/I11*MAX(0,MIN(I$6,(I$3+I$6)/2+I11)-MAX(I$3,(I$3+I$6)/2))</x:f>
        <x:v>194.72943612303362</x:v>
      </x:c>
      <x:c r="J18" s="40" t="n">
        <x:f>I10/I11*MAX(0,MIN(J$6,(I$3+I$6)/2+I11)-MAX(J$3,(I$3+I$6)/2))</x:f>
        <x:v>389.45887224606724</x:v>
      </x:c>
      <x:c r="K18" s="40" t="n">
        <x:f>I10/I11*MAX(0,MIN(K$6,(I$3+I$6)/2+I11)-MAX(K$3,(I$3+I$6)/2))</x:f>
        <x:v>389.45887224606724</x:v>
      </x:c>
      <x:c r="L18" s="40" t="n">
        <x:f>I10/I11*MAX(0,MIN(L$6,(I$3+I$6)/2+I11)-MAX(L$3,(I$3+I$6)/2))</x:f>
        <x:v>389.45887224606724</x:v>
      </x:c>
      <x:c r="M18" s="40" t="n">
        <x:f>I10/I11*MAX(0,MIN(M$6,(I$3+I$6)/2+I11)-MAX(M$3,(I$3+I$6)/2))</x:f>
        <x:v>389.45887224606724</x:v>
      </x:c>
      <x:c r="N18" s="40" t="n">
        <x:f>I10/I11*MAX(0,MIN(N$6,(I$3+I$6)/2+I11)-MAX(N$3,(I$3+I$6)/2))</x:f>
        <x:v>389.45887224606724</x:v>
      </x:c>
      <x:c r="O18" s="40" t="n">
        <x:f>I10/I11*MAX(0,MIN(O$6,(I$3+I$6)/2+I11)-MAX(O$3,(I$3+I$6)/2))</x:f>
        <x:v>389.45887224606724</x:v>
      </x:c>
      <x:c r="P18" s="40" t="n">
        <x:f>I10/I11*MAX(0,MIN(P$6,(I$3+I$6)/2+I11)-MAX(P$3,(I$3+I$6)/2))</x:f>
        <x:v>389.45887224606724</x:v>
      </x:c>
      <x:c r="Q18" s="40" t="n">
        <x:f>I10/I11*MAX(0,MIN(Q$6,(I$3+I$6)/2+I11)-MAX(Q$3,(I$3+I$6)/2))</x:f>
        <x:v>389.45887224606724</x:v>
      </x:c>
      <x:c r="R18" s="40" t="n">
        <x:f>I10/I11*MAX(0,MIN(R$6,(I$3+I$6)/2+I11)-MAX(R$3,(I$3+I$6)/2))</x:f>
        <x:v>389.45887224606724</x:v>
      </x:c>
      <x:c r="S18" s="40" t="n">
        <x:f>I10/I11*MAX(0,MIN(S$6,(I$3+I$6)/2+I11)-MAX(S$3,(I$3+I$6)/2))</x:f>
        <x:v>194.72943612303362</x:v>
      </x:c>
    </x:row>
    <x:row r="19" ht="20" customHeight="1">
      <x:c r="A19" s="3"/>
      <x:c r="B19" s="3"/>
      <x:c r="C19" s="3" t="str">
        <x:v>D&amp;A nakładów 2032E</x:v>
      </x:c>
      <x:c r="D19" s="40" t="n">
        <x:f>0</x:f>
        <x:v>0</x:v>
      </x:c>
      <x:c r="E19" s="40" t="n">
        <x:f>0</x:f>
        <x:v>0</x:v>
      </x:c>
      <x:c r="F19" s="40" t="n">
        <x:f>0</x:f>
        <x:v>0</x:v>
      </x:c>
      <x:c r="G19" s="40" t="n">
        <x:f>0</x:f>
        <x:v>0</x:v>
      </x:c>
      <x:c r="H19" s="40" t="n">
        <x:f>0</x:f>
        <x:v>0</x:v>
      </x:c>
      <x:c r="I19" s="40" t="n">
        <x:f>0</x:f>
        <x:v>0</x:v>
      </x:c>
      <x:c r="J19" s="40" t="n">
        <x:f>J10/J11*MAX(0,MIN(J$6,(J$3+J$6)/2+J11)-MAX(J$3,(J$3+J$6)/2))</x:f>
        <x:v>189.5977664639732</x:v>
      </x:c>
      <x:c r="K19" s="40" t="n">
        <x:f>J10/J11*MAX(0,MIN(K$6,(J$3+J$6)/2+J11)-MAX(K$3,(J$3+J$6)/2))</x:f>
        <x:v>379.1955329279464</x:v>
      </x:c>
      <x:c r="L19" s="40" t="n">
        <x:f>J10/J11*MAX(0,MIN(L$6,(J$3+J$6)/2+J11)-MAX(L$3,(J$3+J$6)/2))</x:f>
        <x:v>379.1955329279464</x:v>
      </x:c>
      <x:c r="M19" s="40" t="n">
        <x:f>J10/J11*MAX(0,MIN(M$6,(J$3+J$6)/2+J11)-MAX(M$3,(J$3+J$6)/2))</x:f>
        <x:v>379.1955329279464</x:v>
      </x:c>
      <x:c r="N19" s="40" t="n">
        <x:f>J10/J11*MAX(0,MIN(N$6,(J$3+J$6)/2+J11)-MAX(N$3,(J$3+J$6)/2))</x:f>
        <x:v>379.1955329279464</x:v>
      </x:c>
      <x:c r="O19" s="40" t="n">
        <x:f>J10/J11*MAX(0,MIN(O$6,(J$3+J$6)/2+J11)-MAX(O$3,(J$3+J$6)/2))</x:f>
        <x:v>379.1955329279464</x:v>
      </x:c>
      <x:c r="P19" s="40" t="n">
        <x:f>J10/J11*MAX(0,MIN(P$6,(J$3+J$6)/2+J11)-MAX(P$3,(J$3+J$6)/2))</x:f>
        <x:v>379.1955329279464</x:v>
      </x:c>
      <x:c r="Q19" s="40" t="n">
        <x:f>J10/J11*MAX(0,MIN(Q$6,(J$3+J$6)/2+J11)-MAX(Q$3,(J$3+J$6)/2))</x:f>
        <x:v>379.1955329279464</x:v>
      </x:c>
      <x:c r="R19" s="40" t="n">
        <x:f>J10/J11*MAX(0,MIN(R$6,(J$3+J$6)/2+J11)-MAX(R$3,(J$3+J$6)/2))</x:f>
        <x:v>379.1955329279464</x:v>
      </x:c>
      <x:c r="S19" s="40" t="n">
        <x:f>J10/J11*MAX(0,MIN(S$6,(J$3+J$6)/2+J11)-MAX(S$3,(J$3+J$6)/2))</x:f>
        <x:v>379.1955329279464</x:v>
      </x:c>
    </x:row>
    <x:row r="20" ht="20" customHeight="1">
      <x:c r="A20" s="3"/>
      <x:c r="B20" s="3"/>
      <x:c r="C20" s="3" t="str">
        <x:v>D&amp;A nakładów 2033E</x:v>
      </x:c>
      <x:c r="D20" s="40" t="n">
        <x:f>0</x:f>
        <x:v>0</x:v>
      </x:c>
      <x:c r="E20" s="40" t="n">
        <x:f>0</x:f>
        <x:v>0</x:v>
      </x:c>
      <x:c r="F20" s="40" t="n">
        <x:f>0</x:f>
        <x:v>0</x:v>
      </x:c>
      <x:c r="G20" s="40" t="n">
        <x:f>0</x:f>
        <x:v>0</x:v>
      </x:c>
      <x:c r="H20" s="40" t="n">
        <x:f>0</x:f>
        <x:v>0</x:v>
      </x:c>
      <x:c r="I20" s="40" t="n">
        <x:f>0</x:f>
        <x:v>0</x:v>
      </x:c>
      <x:c r="J20" s="40" t="n">
        <x:f>0</x:f>
        <x:v>0</x:v>
      </x:c>
      <x:c r="K20" s="40" t="n">
        <x:f>K10/K11*MAX(0,MIN(K$6,(K$3+K$6)/2+K11)-MAX(K$3,(K$3+K$6)/2))</x:f>
        <x:v>184.60133076858057</x:v>
      </x:c>
      <x:c r="L20" s="40" t="n">
        <x:f>K10/K11*MAX(0,MIN(L$6,(K$3+K$6)/2+K11)-MAX(L$3,(K$3+K$6)/2))</x:f>
        <x:v>369.20266153716113</x:v>
      </x:c>
      <x:c r="M20" s="40" t="n">
        <x:f>K10/K11*MAX(0,MIN(M$6,(K$3+K$6)/2+K11)-MAX(M$3,(K$3+K$6)/2))</x:f>
        <x:v>369.20266153716113</x:v>
      </x:c>
      <x:c r="N20" s="40" t="n">
        <x:f>K10/K11*MAX(0,MIN(N$6,(K$3+K$6)/2+K11)-MAX(N$3,(K$3+K$6)/2))</x:f>
        <x:v>369.20266153716113</x:v>
      </x:c>
      <x:c r="O20" s="40" t="n">
        <x:f>K10/K11*MAX(0,MIN(O$6,(K$3+K$6)/2+K11)-MAX(O$3,(K$3+K$6)/2))</x:f>
        <x:v>369.20266153716113</x:v>
      </x:c>
      <x:c r="P20" s="40" t="n">
        <x:f>K10/K11*MAX(0,MIN(P$6,(K$3+K$6)/2+K11)-MAX(P$3,(K$3+K$6)/2))</x:f>
        <x:v>369.20266153716113</x:v>
      </x:c>
      <x:c r="Q20" s="40" t="n">
        <x:f>K10/K11*MAX(0,MIN(Q$6,(K$3+K$6)/2+K11)-MAX(Q$3,(K$3+K$6)/2))</x:f>
        <x:v>369.20266153716113</x:v>
      </x:c>
      <x:c r="R20" s="40" t="n">
        <x:f>K10/K11*MAX(0,MIN(R$6,(K$3+K$6)/2+K11)-MAX(R$3,(K$3+K$6)/2))</x:f>
        <x:v>369.20266153716113</x:v>
      </x:c>
      <x:c r="S20" s="40" t="n">
        <x:f>K10/K11*MAX(0,MIN(S$6,(K$3+K$6)/2+K11)-MAX(S$3,(K$3+K$6)/2))</x:f>
        <x:v>369.20266153716113</x:v>
      </x:c>
    </x:row>
    <x:row r="21" ht="20" customHeight="1">
      <x:c r="A21" s="3"/>
      <x:c r="B21" s="3"/>
      <x:c r="C21" s="3" t="str">
        <x:v>D&amp;A nakładów 2034E</x:v>
      </x:c>
      <x:c r="D21" s="40" t="n">
        <x:f>0</x:f>
        <x:v>0</x:v>
      </x:c>
      <x:c r="E21" s="40" t="n">
        <x:f>0</x:f>
        <x:v>0</x:v>
      </x:c>
      <x:c r="F21" s="40" t="n">
        <x:f>0</x:f>
        <x:v>0</x:v>
      </x:c>
      <x:c r="G21" s="40" t="n">
        <x:f>0</x:f>
        <x:v>0</x:v>
      </x:c>
      <x:c r="H21" s="40" t="n">
        <x:f>0</x:f>
        <x:v>0</x:v>
      </x:c>
      <x:c r="I21" s="40" t="n">
        <x:f>0</x:f>
        <x:v>0</x:v>
      </x:c>
      <x:c r="J21" s="40" t="n">
        <x:f>0</x:f>
        <x:v>0</x:v>
      </x:c>
      <x:c r="K21" s="40" t="n">
        <x:f>0</x:f>
        <x:v>0</x:v>
      </x:c>
      <x:c r="L21" s="40" t="n">
        <x:f>L10/L11*MAX(0,MIN(L$6,(L$3+L$6)/2+L11)-MAX(L$3,(L$3+L$6)/2))</x:f>
        <x:v>179.73656524063654</x:v>
      </x:c>
      <x:c r="M21" s="40" t="n">
        <x:f>L10/L11*MAX(0,MIN(M$6,(L$3+L$6)/2+L11)-MAX(M$3,(L$3+L$6)/2))</x:f>
        <x:v>359.4731304812731</x:v>
      </x:c>
      <x:c r="N21" s="40" t="n">
        <x:f>L10/L11*MAX(0,MIN(N$6,(L$3+L$6)/2+L11)-MAX(N$3,(L$3+L$6)/2))</x:f>
        <x:v>359.4731304812731</x:v>
      </x:c>
      <x:c r="O21" s="40" t="n">
        <x:f>L10/L11*MAX(0,MIN(O$6,(L$3+L$6)/2+L11)-MAX(O$3,(L$3+L$6)/2))</x:f>
        <x:v>359.4731304812731</x:v>
      </x:c>
      <x:c r="P21" s="40" t="n">
        <x:f>L10/L11*MAX(0,MIN(P$6,(L$3+L$6)/2+L11)-MAX(P$3,(L$3+L$6)/2))</x:f>
        <x:v>359.4731304812731</x:v>
      </x:c>
      <x:c r="Q21" s="40" t="n">
        <x:f>L10/L11*MAX(0,MIN(Q$6,(L$3+L$6)/2+L11)-MAX(Q$3,(L$3+L$6)/2))</x:f>
        <x:v>359.4731304812731</x:v>
      </x:c>
      <x:c r="R21" s="40" t="n">
        <x:f>L10/L11*MAX(0,MIN(R$6,(L$3+L$6)/2+L11)-MAX(R$3,(L$3+L$6)/2))</x:f>
        <x:v>359.4731304812731</x:v>
      </x:c>
      <x:c r="S21" s="40" t="n">
        <x:f>L10/L11*MAX(0,MIN(S$6,(L$3+L$6)/2+L11)-MAX(S$3,(L$3+L$6)/2))</x:f>
        <x:v>359.4731304812731</x:v>
      </x:c>
    </x:row>
    <x:row r="22" ht="20" customHeight="1">
      <x:c r="A22" s="3"/>
      <x:c r="B22" s="3"/>
      <x:c r="C22" s="3" t="str">
        <x:v>D&amp;A nakładów 2035E</x:v>
      </x:c>
      <x:c r="D22" s="40" t="n">
        <x:f>0</x:f>
        <x:v>0</x:v>
      </x:c>
      <x:c r="E22" s="40" t="n">
        <x:f>0</x:f>
        <x:v>0</x:v>
      </x:c>
      <x:c r="F22" s="40" t="n">
        <x:f>0</x:f>
        <x:v>0</x:v>
      </x:c>
      <x:c r="G22" s="40" t="n">
        <x:f>0</x:f>
        <x:v>0</x:v>
      </x:c>
      <x:c r="H22" s="40" t="n">
        <x:f>0</x:f>
        <x:v>0</x:v>
      </x:c>
      <x:c r="I22" s="40" t="n">
        <x:f>0</x:f>
        <x:v>0</x:v>
      </x:c>
      <x:c r="J22" s="40" t="n">
        <x:f>0</x:f>
        <x:v>0</x:v>
      </x:c>
      <x:c r="K22" s="40" t="n">
        <x:f>0</x:f>
        <x:v>0</x:v>
      </x:c>
      <x:c r="L22" s="40" t="n">
        <x:f>0</x:f>
        <x:v>0</x:v>
      </x:c>
      <x:c r="M22" s="40" t="n">
        <x:f>M10/M11*MAX(0,MIN(M$6,(M$3+M$6)/2+M11)-MAX(M$3,(M$3+M$6)/2))</x:f>
        <x:v>175</x:v>
      </x:c>
      <x:c r="N22" s="40" t="n">
        <x:f>M10/M11*MAX(0,MIN(N$6,(M$3+M$6)/2+M11)-MAX(N$3,(M$3+M$6)/2))</x:f>
        <x:v>350</x:v>
      </x:c>
      <x:c r="O22" s="40" t="n">
        <x:f>M10/M11*MAX(0,MIN(O$6,(M$3+M$6)/2+M11)-MAX(O$3,(M$3+M$6)/2))</x:f>
        <x:v>350</x:v>
      </x:c>
      <x:c r="P22" s="40" t="n">
        <x:f>M10/M11*MAX(0,MIN(P$6,(M$3+M$6)/2+M11)-MAX(P$3,(M$3+M$6)/2))</x:f>
        <x:v>350</x:v>
      </x:c>
      <x:c r="Q22" s="40" t="n">
        <x:f>M10/M11*MAX(0,MIN(Q$6,(M$3+M$6)/2+M11)-MAX(Q$3,(M$3+M$6)/2))</x:f>
        <x:v>350</x:v>
      </x:c>
      <x:c r="R22" s="40" t="n">
        <x:f>M10/M11*MAX(0,MIN(R$6,(M$3+M$6)/2+M11)-MAX(R$3,(M$3+M$6)/2))</x:f>
        <x:v>350</x:v>
      </x:c>
      <x:c r="S22" s="40" t="n">
        <x:f>M10/M11*MAX(0,MIN(S$6,(M$3+M$6)/2+M11)-MAX(S$3,(M$3+M$6)/2))</x:f>
        <x:v>350</x:v>
      </x:c>
    </x:row>
    <x:row r="23" ht="20" customHeight="1">
      <x:c r="A23" s="3"/>
      <x:c r="B23" s="3"/>
      <x:c r="C23" s="3" t="str">
        <x:v>D&amp;A nakładów 2036E</x:v>
      </x:c>
      <x:c r="D23" s="40" t="n">
        <x:f>0</x:f>
        <x:v>0</x:v>
      </x:c>
      <x:c r="E23" s="40" t="n">
        <x:f>0</x:f>
        <x:v>0</x:v>
      </x:c>
      <x:c r="F23" s="40" t="n">
        <x:f>0</x:f>
        <x:v>0</x:v>
      </x:c>
      <x:c r="G23" s="40" t="n">
        <x:f>0</x:f>
        <x:v>0</x:v>
      </x:c>
      <x:c r="H23" s="40" t="n">
        <x:f>0</x:f>
        <x:v>0</x:v>
      </x:c>
      <x:c r="I23" s="40" t="n">
        <x:f>0</x:f>
        <x:v>0</x:v>
      </x:c>
      <x:c r="J23" s="40" t="n">
        <x:f>0</x:f>
        <x:v>0</x:v>
      </x:c>
      <x:c r="K23" s="40" t="n">
        <x:f>0</x:f>
        <x:v>0</x:v>
      </x:c>
      <x:c r="L23" s="40" t="n">
        <x:f>0</x:f>
        <x:v>0</x:v>
      </x:c>
      <x:c r="M23" s="40" t="n">
        <x:f>0</x:f>
        <x:v>0</x:v>
      </x:c>
      <x:c r="N23" s="40" t="n">
        <x:f>N10/N11*MAX(0,MIN(N$6,(N$3+N$6)/2+N11)-MAX(N$3,(N$3+N$6)/2))</x:f>
        <x:v>172.40573341461612</x:v>
      </x:c>
      <x:c r="O23" s="40" t="n">
        <x:f>N10/N11*MAX(0,MIN(O$6,(N$3+N$6)/2+N11)-MAX(O$3,(N$3+N$6)/2))</x:f>
        <x:v>344.81146682923224</x:v>
      </x:c>
      <x:c r="P23" s="40" t="n">
        <x:f>N10/N11*MAX(0,MIN(P$6,(N$3+N$6)/2+N11)-MAX(P$3,(N$3+N$6)/2))</x:f>
        <x:v>344.81146682923224</x:v>
      </x:c>
      <x:c r="Q23" s="40" t="n">
        <x:f>N10/N11*MAX(0,MIN(Q$6,(N$3+N$6)/2+N11)-MAX(Q$3,(N$3+N$6)/2))</x:f>
        <x:v>344.81146682923224</x:v>
      </x:c>
      <x:c r="R23" s="40" t="n">
        <x:f>N10/N11*MAX(0,MIN(R$6,(N$3+N$6)/2+N11)-MAX(R$3,(N$3+N$6)/2))</x:f>
        <x:v>344.81146682923224</x:v>
      </x:c>
      <x:c r="S23" s="40" t="n">
        <x:f>N10/N11*MAX(0,MIN(S$6,(N$3+N$6)/2+N11)-MAX(S$3,(N$3+N$6)/2))</x:f>
        <x:v>344.81146682923224</x:v>
      </x:c>
    </x:row>
    <x:row r="24" ht="20" customHeight="1">
      <x:c r="A24" s="3"/>
      <x:c r="B24" s="3"/>
      <x:c r="C24" s="3" t="str">
        <x:v>D&amp;A nakładów 2037E</x:v>
      </x:c>
      <x:c r="D24" s="40" t="n">
        <x:f>0</x:f>
        <x:v>0</x:v>
      </x:c>
      <x:c r="E24" s="40" t="n">
        <x:f>0</x:f>
        <x:v>0</x:v>
      </x:c>
      <x:c r="F24" s="40" t="n">
        <x:f>0</x:f>
        <x:v>0</x:v>
      </x:c>
      <x:c r="G24" s="40" t="n">
        <x:f>0</x:f>
        <x:v>0</x:v>
      </x:c>
      <x:c r="H24" s="40" t="n">
        <x:f>0</x:f>
        <x:v>0</x:v>
      </x:c>
      <x:c r="I24" s="40" t="n">
        <x:f>0</x:f>
        <x:v>0</x:v>
      </x:c>
      <x:c r="J24" s="40" t="n">
        <x:f>0</x:f>
        <x:v>0</x:v>
      </x:c>
      <x:c r="K24" s="40" t="n">
        <x:f>0</x:f>
        <x:v>0</x:v>
      </x:c>
      <x:c r="L24" s="40" t="n">
        <x:f>0</x:f>
        <x:v>0</x:v>
      </x:c>
      <x:c r="M24" s="40" t="n">
        <x:f>0</x:f>
        <x:v>0</x:v>
      </x:c>
      <x:c r="N24" s="40" t="n">
        <x:f>0</x:f>
        <x:v>0</x:v>
      </x:c>
      <x:c r="O24" s="40" t="n">
        <x:f>O10/O11*MAX(0,MIN(O$6,(O$3+O$6)/2+O11)-MAX(O$3,(O$3+O$6)/2))</x:f>
        <x:v>169.84992522418105</x:v>
      </x:c>
      <x:c r="P24" s="40" t="n">
        <x:f>O10/O11*MAX(0,MIN(P$6,(O$3+O$6)/2+O11)-MAX(P$3,(O$3+O$6)/2))</x:f>
        <x:v>339.6998504483621</x:v>
      </x:c>
      <x:c r="Q24" s="40" t="n">
        <x:f>O10/O11*MAX(0,MIN(Q$6,(O$3+O$6)/2+O11)-MAX(Q$3,(O$3+O$6)/2))</x:f>
        <x:v>339.6998504483621</x:v>
      </x:c>
      <x:c r="R24" s="40" t="n">
        <x:f>O10/O11*MAX(0,MIN(R$6,(O$3+O$6)/2+O11)-MAX(R$3,(O$3+O$6)/2))</x:f>
        <x:v>339.6998504483621</x:v>
      </x:c>
      <x:c r="S24" s="40" t="n">
        <x:f>O10/O11*MAX(0,MIN(S$6,(O$3+O$6)/2+O11)-MAX(S$3,(O$3+O$6)/2))</x:f>
        <x:v>339.6998504483621</x:v>
      </x:c>
    </x:row>
    <x:row r="25" ht="20" customHeight="1">
      <x:c r="A25" s="3"/>
      <x:c r="B25" s="3"/>
      <x:c r="C25" s="3" t="str">
        <x:v>D&amp;A nakładów 2038E</x:v>
      </x:c>
      <x:c r="D25" s="40" t="n">
        <x:f>0</x:f>
        <x:v>0</x:v>
      </x:c>
      <x:c r="E25" s="40" t="n">
        <x:f>0</x:f>
        <x:v>0</x:v>
      </x:c>
      <x:c r="F25" s="40" t="n">
        <x:f>0</x:f>
        <x:v>0</x:v>
      </x:c>
      <x:c r="G25" s="40" t="n">
        <x:f>0</x:f>
        <x:v>0</x:v>
      </x:c>
      <x:c r="H25" s="40" t="n">
        <x:f>0</x:f>
        <x:v>0</x:v>
      </x:c>
      <x:c r="I25" s="40" t="n">
        <x:f>0</x:f>
        <x:v>0</x:v>
      </x:c>
      <x:c r="J25" s="40" t="n">
        <x:f>0</x:f>
        <x:v>0</x:v>
      </x:c>
      <x:c r="K25" s="40" t="n">
        <x:f>0</x:f>
        <x:v>0</x:v>
      </x:c>
      <x:c r="L25" s="40" t="n">
        <x:f>0</x:f>
        <x:v>0</x:v>
      </x:c>
      <x:c r="M25" s="40" t="n">
        <x:f>0</x:f>
        <x:v>0</x:v>
      </x:c>
      <x:c r="N25" s="40" t="n">
        <x:f>0</x:f>
        <x:v>0</x:v>
      </x:c>
      <x:c r="O25" s="40" t="n">
        <x:f>0</x:f>
        <x:v>0</x:v>
      </x:c>
      <x:c r="P25" s="40" t="n">
        <x:f>P10/P11*MAX(0,MIN(P$6,(P$3+P$6)/2+P11)-MAX(P$3,(P$3+P$6)/2))</x:f>
        <x:v>167.33200530681512</x:v>
      </x:c>
      <x:c r="Q25" s="40" t="n">
        <x:f>P10/P11*MAX(0,MIN(Q$6,(P$3+P$6)/2+P11)-MAX(Q$3,(P$3+P$6)/2))</x:f>
        <x:v>334.66401061363024</x:v>
      </x:c>
      <x:c r="R25" s="40" t="n">
        <x:f>P10/P11*MAX(0,MIN(R$6,(P$3+P$6)/2+P11)-MAX(R$3,(P$3+P$6)/2))</x:f>
        <x:v>334.66401061363024</x:v>
      </x:c>
      <x:c r="S25" s="40" t="n">
        <x:f>P10/P11*MAX(0,MIN(S$6,(P$3+P$6)/2+P11)-MAX(S$3,(P$3+P$6)/2))</x:f>
        <x:v>334.66401061363024</x:v>
      </x:c>
    </x:row>
    <x:row r="26" ht="20" customHeight="1">
      <x:c r="A26" s="3"/>
      <x:c r="B26" s="3"/>
      <x:c r="C26" s="3" t="str">
        <x:v>D&amp;A nakładów 2039E</x:v>
      </x:c>
      <x:c r="D26" s="40" t="n">
        <x:f>0</x:f>
        <x:v>0</x:v>
      </x:c>
      <x:c r="E26" s="40" t="n">
        <x:f>0</x:f>
        <x:v>0</x:v>
      </x:c>
      <x:c r="F26" s="40" t="n">
        <x:f>0</x:f>
        <x:v>0</x:v>
      </x:c>
      <x:c r="G26" s="40" t="n">
        <x:f>0</x:f>
        <x:v>0</x:v>
      </x:c>
      <x:c r="H26" s="40" t="n">
        <x:f>0</x:f>
        <x:v>0</x:v>
      </x:c>
      <x:c r="I26" s="40" t="n">
        <x:f>0</x:f>
        <x:v>0</x:v>
      </x:c>
      <x:c r="J26" s="40" t="n">
        <x:f>0</x:f>
        <x:v>0</x:v>
      </x:c>
      <x:c r="K26" s="40" t="n">
        <x:f>0</x:f>
        <x:v>0</x:v>
      </x:c>
      <x:c r="L26" s="40" t="n">
        <x:f>0</x:f>
        <x:v>0</x:v>
      </x:c>
      <x:c r="M26" s="40" t="n">
        <x:f>0</x:f>
        <x:v>0</x:v>
      </x:c>
      <x:c r="N26" s="40" t="n">
        <x:f>0</x:f>
        <x:v>0</x:v>
      </x:c>
      <x:c r="O26" s="40" t="n">
        <x:f>0</x:f>
        <x:v>0</x:v>
      </x:c>
      <x:c r="P26" s="40" t="n">
        <x:f>0</x:f>
        <x:v>0</x:v>
      </x:c>
      <x:c r="Q26" s="40" t="n">
        <x:f>Q10/Q11*MAX(0,MIN(Q$6,(Q$3+Q$6)/2+Q11)-MAX(Q$3,(Q$3+Q$6)/2))</x:f>
        <x:v>164.8514119923423</x:v>
      </x:c>
      <x:c r="R26" s="40" t="n">
        <x:f>Q10/Q11*MAX(0,MIN(R$6,(Q$3+Q$6)/2+Q11)-MAX(R$3,(Q$3+Q$6)/2))</x:f>
        <x:v>329.7028239846846</x:v>
      </x:c>
      <x:c r="S26" s="40" t="n">
        <x:f>Q10/Q11*MAX(0,MIN(S$6,(Q$3+Q$6)/2+Q11)-MAX(S$3,(Q$3+Q$6)/2))</x:f>
        <x:v>329.7028239846846</x:v>
      </x:c>
    </x:row>
    <x:row r="27" ht="20" customHeight="1">
      <x:c r="A27" s="3"/>
      <x:c r="B27" s="3"/>
      <x:c r="C27" s="3" t="str">
        <x:v>D&amp;A nakładów 2040E</x:v>
      </x:c>
      <x:c r="D27" s="40" t="n">
        <x:f>0</x:f>
        <x:v>0</x:v>
      </x:c>
      <x:c r="E27" s="40" t="n">
        <x:f>0</x:f>
        <x:v>0</x:v>
      </x:c>
      <x:c r="F27" s="40" t="n">
        <x:f>0</x:f>
        <x:v>0</x:v>
      </x:c>
      <x:c r="G27" s="40" t="n">
        <x:f>0</x:f>
        <x:v>0</x:v>
      </x:c>
      <x:c r="H27" s="40" t="n">
        <x:f>0</x:f>
        <x:v>0</x:v>
      </x:c>
      <x:c r="I27" s="40" t="n">
        <x:f>0</x:f>
        <x:v>0</x:v>
      </x:c>
      <x:c r="J27" s="40" t="n">
        <x:f>0</x:f>
        <x:v>0</x:v>
      </x:c>
      <x:c r="K27" s="40" t="n">
        <x:f>0</x:f>
        <x:v>0</x:v>
      </x:c>
      <x:c r="L27" s="40" t="n">
        <x:f>0</x:f>
        <x:v>0</x:v>
      </x:c>
      <x:c r="M27" s="40" t="n">
        <x:f>0</x:f>
        <x:v>0</x:v>
      </x:c>
      <x:c r="N27" s="40" t="n">
        <x:f>0</x:f>
        <x:v>0</x:v>
      </x:c>
      <x:c r="O27" s="40" t="n">
        <x:f>0</x:f>
        <x:v>0</x:v>
      </x:c>
      <x:c r="P27" s="40" t="n">
        <x:f>0</x:f>
        <x:v>0</x:v>
      </x:c>
      <x:c r="Q27" s="40" t="n">
        <x:f>0</x:f>
        <x:v>0</x:v>
      </x:c>
      <x:c r="R27" s="40" t="n">
        <x:f>R10/R11*MAX(0,MIN(R$6,(R$3+R$6)/2+R11)-MAX(R$3,(R$3+R$6)/2))</x:f>
        <x:v>162.40759193699893</x:v>
      </x:c>
      <x:c r="S27" s="40" t="n">
        <x:f>R10/R11*MAX(0,MIN(S$6,(R$3+R$6)/2+R11)-MAX(S$3,(R$3+R$6)/2))</x:f>
        <x:v>324.81518387399785</x:v>
      </x:c>
    </x:row>
    <x:row r="28" ht="20" customHeight="1">
      <x:c r="A28" s="3"/>
      <x:c r="B28" s="3"/>
      <x:c r="C28" s="3" t="str">
        <x:v>D&amp;A nakładów 2041E</x:v>
      </x:c>
      <x:c r="D28" s="40" t="n">
        <x:f>0</x:f>
        <x:v>0</x:v>
      </x:c>
      <x:c r="E28" s="40" t="n">
        <x:f>0</x:f>
        <x:v>0</x:v>
      </x:c>
      <x:c r="F28" s="40" t="n">
        <x:f>0</x:f>
        <x:v>0</x:v>
      </x:c>
      <x:c r="G28" s="40" t="n">
        <x:f>0</x:f>
        <x:v>0</x:v>
      </x:c>
      <x:c r="H28" s="40" t="n">
        <x:f>0</x:f>
        <x:v>0</x:v>
      </x:c>
      <x:c r="I28" s="40" t="n">
        <x:f>0</x:f>
        <x:v>0</x:v>
      </x:c>
      <x:c r="J28" s="40" t="n">
        <x:f>0</x:f>
        <x:v>0</x:v>
      </x:c>
      <x:c r="K28" s="40" t="n">
        <x:f>0</x:f>
        <x:v>0</x:v>
      </x:c>
      <x:c r="L28" s="40" t="n">
        <x:f>0</x:f>
        <x:v>0</x:v>
      </x:c>
      <x:c r="M28" s="40" t="n">
        <x:f>0</x:f>
        <x:v>0</x:v>
      </x:c>
      <x:c r="N28" s="40" t="n">
        <x:f>0</x:f>
        <x:v>0</x:v>
      </x:c>
      <x:c r="O28" s="40" t="n">
        <x:f>0</x:f>
        <x:v>0</x:v>
      </x:c>
      <x:c r="P28" s="40" t="n">
        <x:f>0</x:f>
        <x:v>0</x:v>
      </x:c>
      <x:c r="Q28" s="40" t="n">
        <x:f>0</x:f>
        <x:v>0</x:v>
      </x:c>
      <x:c r="R28" s="40" t="n">
        <x:f>0</x:f>
        <x:v>0</x:v>
      </x:c>
      <x:c r="S28" s="40" t="n">
        <x:f>S10/S11*MAX(0,MIN(S$6,(S$3+S$6)/2+S11)-MAX(S$3,(S$3+S$6)/2))</x:f>
        <x:v>160</x:v>
      </x:c>
    </x:row>
    <x:row r="29" ht="23" customHeight="1">
      <x:c r="A29" s="3"/>
      <x:c r="B29" s="3"/>
      <x:c r="C29" s="45" t="str">
        <x:v>D&amp;A razem</x:v>
      </x:c>
      <x:c r="D29" s="46" t="n">
        <x:f>SUM(D12:D28)</x:f>
        <x:v>337.05357142857144</x:v>
      </x:c>
      <x:c r="E29" s="46" t="n">
        <x:f>SUM(E12:E28)</x:f>
        <x:v>1647.1496879650797</x:v>
      </x:c>
      <x:c r="F29" s="46" t="n">
        <x:f>SUM(F12:F28)</x:f>
        <x:v>2107.1918879658524</x:v>
      </x:c>
      <x:c r="G29" s="46" t="n">
        <x:f>SUM(G12:G28)</x:f>
        <x:v>2542.2729384039444</x:v>
      </x:c>
      <x:c r="H29" s="46" t="n">
        <x:f>SUM(H12:H28)</x:f>
        <x:v>2953.747191092057</x:v>
      </x:c>
      <x:c r="I29" s="46" t="n">
        <x:f>SUM(I12:I28)</x:f>
        <x:v>3348.476627215091</x:v>
      </x:c>
      <x:c r="J29" s="46" t="n">
        <x:f>SUM(J12:J28)</x:f>
        <x:v>3732.8038298020974</x:v>
      </x:c>
      <x:c r="K29" s="46" t="n">
        <x:f>SUM(K12:K28)</x:f>
        <x:v>3785.5743556060797</x:v>
      </x:c>
      <x:c r="L29" s="46" t="n">
        <x:f>SUM(L12:L28)</x:f>
        <x:v>3185.626537329583</x:v>
      </x:c>
      <x:c r="M29" s="46" t="n">
        <x:f>SUM(M12:M28)</x:f>
        <x:v>3540.3631025702193</x:v>
      </x:c>
      <x:c r="N29" s="46" t="n">
        <x:f>SUM(N12:N28)</x:f>
        <x:v>3872.1438359848353</x:v>
      </x:c>
      <x:c r="O29" s="46" t="n">
        <x:f>SUM(O12:O28)</x:f>
        <x:v>3868.5890923728384</x:v>
      </x:c>
      <x:c r="P29" s="46" t="n">
        <x:f>SUM(P12:P28)</x:f>
        <x:v>3745.728822903062</x:v>
      </x:c>
      <x:c r="Q29" s="46" t="n">
        <x:f>SUM(Q12:Q28)</x:f>
        <x:v>3642.831189764128</x:v>
      </x:c>
      <x:c r="R29" s="46" t="n">
        <x:f>SUM(R12:R28)</x:f>
        <x:v>3558.615941005356</x:v>
      </x:c>
      <x:c r="S29" s="46" t="n">
        <x:f>SUM(S12:S28)</x:f>
        <x:v>3486.294096819321</x:v>
      </x:c>
    </x:row>
    <x:row r="30" ht="23" customHeight="1">
      <x:c r="A30" s="3"/>
      <x:c r="B30" s="3"/>
      <x:c r="C30" s="45" t="str">
        <x:v>Wartość netto na koniec</x:v>
      </x:c>
      <x:c r="D30" s="46" t="n">
        <x:f>SUM(D9:D10)-D29</x:f>
        <x:v>9912.94642857143</x:v>
      </x:c>
      <x:c r="E30" s="46" t="n">
        <x:f>SUM(E9:E10)-E29</x:f>
        <x:v>12994.504785622228</x:v>
      </x:c>
      <x:c r="F30" s="46" t="n">
        <x:f>SUM(F9:F10)-F29</x:f>
        <x:v>15359.448852655954</x:v>
      </x:c>
      <x:c r="G30" s="46" t="n">
        <x:f>SUM(G9:G10)-G29</x:f>
        <x:v>17046.66096801427</x:v>
      </x:c>
      <x:c r="H30" s="46" t="n">
        <x:f>SUM(H9:H10)-H29</x:f>
        <x:v>18092.91377692221</x:v>
      </x:c>
      <x:c r="I30" s="46" t="n">
        <x:f>SUM(I9:I10)-I29</x:f>
        <x:v>18639.025872167793</x:v>
      </x:c>
      <x:c r="J30" s="46" t="n">
        <x:f>SUM(J9:J10)-J29</x:f>
        <x:v>18698.177371645157</x:v>
      </x:c>
      <x:c r="K30" s="46" t="n">
        <x:f>SUM(K9:K10)-K29</x:f>
        <x:v>18604.629631410688</x:v>
      </x:c>
      <x:c r="L30" s="46" t="n">
        <x:f>SUM(L9:L10)-L29</x:f>
        <x:v>19013.734398893837</x:v>
      </x:c>
      <x:c r="M30" s="46" t="n">
        <x:f>SUM(M9:M10)-M29</x:f>
        <x:v>18973.371296323618</x:v>
      </x:c>
      <x:c r="N30" s="46" t="n">
        <x:f>SUM(N9:N10)-N29</x:f>
        <x:v>18549.342128631102</x:v>
      </x:c>
      <x:c r="O30" s="46" t="n">
        <x:f>SUM(O9:O10)-O29</x:f>
        <x:v>18077.751540741883</x:v>
      </x:c>
      <x:c r="P30" s="46" t="n">
        <x:f>SUM(P9:P10)-P29</x:f>
        <x:v>17678.662823975123</x:v>
      </x:c>
      <x:c r="Q30" s="46" t="n">
        <x:f>SUM(Q9:Q10)-Q29</x:f>
        <x:v>17332.859874057838</x:v>
      </x:c>
      <x:c r="R30" s="46" t="n">
        <x:f>SUM(R9:R10)-R29</x:f>
        <x:v>17022.39577179246</x:v>
      </x:c>
      <x:c r="S30" s="46" t="n">
        <x:f>SUM(S9:S10)-S29</x:f>
        <x:v>16736.10167497314</x:v>
      </x:c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3" customHeight="1">
      <x:c r="A33" s="3"/>
      <x:c r="B33" s="3"/>
      <x:c r="C33" s="17" t="str">
        <x:v>Connectivity: satelity</x:v>
      </x:c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7"/>
      <x:c r="P33" s="17"/>
      <x:c r="Q33" s="17"/>
      <x:c r="R33" s="17"/>
      <x:c r="S33" s="17"/>
    </x:row>
    <x:row r="34" ht="20" customHeight="1">
      <x:c r="A34" s="3"/>
      <x:c r="B34" s="3"/>
      <x:c r="C34" s="3" t="str">
        <x:v>Wartość netto na początek</x:v>
      </x:c>
      <x:c r="D34" s="38" t="n">
        <x:f>'Założenia'!$D$205</x:f>
        <x:v>12000</x:v>
      </x:c>
      <x:c r="E34" s="40" t="n">
        <x:f>D55</x:f>
        <x:v>12329.8581375</x:v>
      </x:c>
      <x:c r="F34" s="40" t="n">
        <x:f>E55</x:f>
        <x:v>13224.202532032636</x:v>
      </x:c>
      <x:c r="G34" s="40" t="n">
        <x:f>F55</x:f>
        <x:v>13549.839448824783</x:v>
      </x:c>
      <x:c r="H34" s="40" t="n">
        <x:f>G55</x:f>
        <x:v>16797.514513617545</x:v>
      </x:c>
      <x:c r="I34" s="40" t="n">
        <x:f>H55</x:f>
        <x:v>20486.323877954186</x:v>
      </x:c>
      <x:c r="J34" s="40" t="n">
        <x:f>I55</x:f>
        <x:v>23522.03150521448</x:v>
      </x:c>
      <x:c r="K34" s="40" t="n">
        <x:f>J55</x:f>
        <x:v>26320.372365160605</x:v>
      </x:c>
      <x:c r="L34" s="40" t="n">
        <x:f>K55</x:f>
        <x:v>29041.395017708703</x:v>
      </x:c>
      <x:c r="M34" s="40" t="n">
        <x:f>L55</x:f>
        <x:v>31895.30617223577</x:v>
      </x:c>
      <x:c r="N34" s="40" t="n">
        <x:f>M55</x:f>
        <x:v>35024.718478396855</x:v>
      </x:c>
      <x:c r="O34" s="40" t="n">
        <x:f>N55</x:f>
        <x:v>37324.56021589633</x:v>
      </x:c>
      <x:c r="P34" s="40" t="n">
        <x:f>O55</x:f>
        <x:v>38923.88421811491</x:v>
      </x:c>
      <x:c r="Q34" s="40" t="n">
        <x:f>P55</x:f>
        <x:v>40080.5335292126</x:v>
      </x:c>
      <x:c r="R34" s="40" t="n">
        <x:f>Q55</x:f>
        <x:v>41086.362540755625</x:v>
      </x:c>
      <x:c r="S34" s="40" t="n">
        <x:f>R55</x:f>
        <x:v>42107.5021496624</x:v>
      </x:c>
    </x:row>
    <x:row r="35" ht="20" customHeight="1">
      <x:c r="A35" s="3"/>
      <x:c r="B35" s="3"/>
      <x:c r="C35" s="3" t="str">
        <x:v>Aktywa oddane do użycia</x:v>
      </x:c>
      <x:c r="D35" s="38" t="n">
        <x:f>'Operacje'!D26*'Założenia'!$D$185</x:f>
        <x:v>1579.2084000000004</x:v>
      </x:c>
      <x:c r="E35" s="38" t="n">
        <x:f>'Operacje'!E26*'Założenia'!$D$185</x:f>
        <x:v>6959.024565180157</x:v>
      </x:c>
      <x:c r="F35" s="38" t="n">
        <x:f>'Operacje'!F26*'Założenia'!$D$185</x:f>
        <x:v>8297.365894956783</x:v>
      </x:c>
      <x:c r="G35" s="38" t="n">
        <x:f>'Operacje'!G26*'Założenia'!$D$185</x:f>
        <x:v>9893.22831980228</x:v>
      </x:c>
      <x:c r="H35" s="38" t="n">
        <x:f>'Operacje'!H26*'Założenia'!$D$185</x:f>
        <x:v>11796.189596367367</x:v>
      </x:c>
      <x:c r="I35" s="38" t="n">
        <x:f>'Operacje'!I26*'Założenia'!$D$185</x:f>
        <x:v>13031.179029359337</x:v>
      </x:c>
      <x:c r="J35" s="38" t="n">
        <x:f>'Operacje'!J26*'Założenia'!$D$185</x:f>
        <x:v>14303.612380797673</x:v>
      </x:c>
      <x:c r="K35" s="38" t="n">
        <x:f>'Operacje'!K26*'Założenia'!$D$185</x:f>
        <x:v>15703.338793319403</x:v>
      </x:c>
      <x:c r="L35" s="38" t="n">
        <x:f>'Operacje'!L26*'Założenia'!$D$185</x:f>
        <x:v>17243.391319933824</x:v>
      </x:c>
      <x:c r="M35" s="38" t="n">
        <x:f>'Operacje'!M26*'Założenia'!$D$185</x:f>
        <x:v>18938.16606667854</x:v>
      </x:c>
      <x:c r="N35" s="38" t="n">
        <x:f>'Operacje'!N26*'Założenia'!$D$185</x:f>
        <x:v>19496.019805808148</x:v>
      </x:c>
      <x:c r="O35" s="38" t="n">
        <x:f>'Operacje'!O26*'Założenia'!$D$185</x:f>
        <x:v>19979.01217084415</x:v>
      </x:c>
      <x:c r="P35" s="38" t="n">
        <x:f>'Operacje'!P26*'Założenia'!$D$185</x:f>
        <x:v>20474.71169933958</x:v>
      </x:c>
      <x:c r="Q35" s="38" t="n">
        <x:f>'Operacje'!Q26*'Założenia'!$D$185</x:f>
        <x:v>20983.469358715214</x:v>
      </x:c>
      <x:c r="R35" s="38" t="n">
        <x:f>'Operacje'!R26*'Założenia'!$D$185</x:f>
        <x:v>21505.646162122892</x:v>
      </x:c>
      <x:c r="S35" s="38" t="n">
        <x:f>'Operacje'!S26*'Założenia'!$D$185</x:f>
        <x:v>22041.613463078942</x:v>
      </x:c>
    </x:row>
    <x:row r="36" ht="20" customHeight="1">
      <x:c r="A36" s="3"/>
      <x:c r="B36" s="3"/>
      <x:c r="C36" s="3" t="str">
        <x:v>Żywotność nowych aktywów (lata)</x:v>
      </x:c>
      <x:c r="D36" s="38" t="n">
        <x:f>'Założenia'!$D$196</x:f>
        <x:v>4</x:v>
      </x:c>
      <x:c r="E36" s="38" t="n">
        <x:f>'Założenia'!$D$196</x:f>
        <x:v>4</x:v>
      </x:c>
      <x:c r="F36" s="38" t="n">
        <x:f>'Założenia'!$D$196</x:f>
        <x:v>4</x:v>
      </x:c>
      <x:c r="G36" s="38" t="n">
        <x:f>'Założenia'!$D$196</x:f>
        <x:v>4</x:v>
      </x:c>
      <x:c r="H36" s="38" t="n">
        <x:f>'Założenia'!$D$196</x:f>
        <x:v>4</x:v>
      </x:c>
      <x:c r="I36" s="38" t="n">
        <x:f>'Założenia'!$D$196</x:f>
        <x:v>4</x:v>
      </x:c>
      <x:c r="J36" s="38" t="n">
        <x:f>'Założenia'!$D$196</x:f>
        <x:v>4</x:v>
      </x:c>
      <x:c r="K36" s="38" t="n">
        <x:f>'Założenia'!$D$196</x:f>
        <x:v>4</x:v>
      </x:c>
      <x:c r="L36" s="38" t="n">
        <x:f>'Założenia'!$D$196</x:f>
        <x:v>4</x:v>
      </x:c>
      <x:c r="M36" s="38" t="n">
        <x:f>'Założenia'!$D$196</x:f>
        <x:v>4</x:v>
      </x:c>
      <x:c r="N36" s="38" t="n">
        <x:f>'Założenia'!$D$196</x:f>
        <x:v>4</x:v>
      </x:c>
      <x:c r="O36" s="38" t="n">
        <x:f>'Założenia'!$D$196</x:f>
        <x:v>4</x:v>
      </x:c>
      <x:c r="P36" s="38" t="n">
        <x:f>'Założenia'!$D$196</x:f>
        <x:v>4</x:v>
      </x:c>
      <x:c r="Q36" s="38" t="n">
        <x:f>'Założenia'!$D$196</x:f>
        <x:v>4</x:v>
      </x:c>
      <x:c r="R36" s="38" t="n">
        <x:f>'Założenia'!$D$196</x:f>
        <x:v>4</x:v>
      </x:c>
      <x:c r="S36" s="38" t="n">
        <x:f>'Założenia'!$D$196</x:f>
        <x:v>4</x:v>
      </x:c>
    </x:row>
    <x:row r="37" ht="20" customHeight="1">
      <x:c r="A37" s="3"/>
      <x:c r="B37" s="3"/>
      <x:c r="C37" s="3" t="str">
        <x:v>D&amp;A aktywów początkowych</x:v>
      </x:c>
      <x:c r="D37" s="38" t="n">
        <x:f>'Założenia'!$D$205/'Założenia'!$E$205*MAX(0,MIN(D$6,'Założenia'!$E$205)-MAX(D$3,0))</x:f>
        <x:v>1200</x:v>
      </x:c>
      <x:c r="E37" s="38" t="n">
        <x:f>'Założenia'!$D$205/'Założenia'!$E$205*MAX(0,MIN(E$6,'Założenia'!$E$205)-MAX(E$3,0))</x:f>
        <x:v>4800</x:v>
      </x:c>
      <x:c r="F37" s="38" t="n">
        <x:f>'Założenia'!$D$205/'Założenia'!$E$205*MAX(0,MIN(F$6,'Założenia'!$E$205)-MAX(F$3,0))</x:f>
        <x:v>4800</x:v>
      </x:c>
      <x:c r="G37" s="38" t="n">
        <x:f>'Założenia'!$D$205/'Założenia'!$E$205*MAX(0,MIN(G$6,'Założenia'!$E$205)-MAX(G$3,0))</x:f>
        <x:v>1200</x:v>
      </x:c>
      <x:c r="H37" s="38" t="n">
        <x:f>'Założenia'!$D$205/'Założenia'!$E$205*MAX(0,MIN(H$6,'Założenia'!$E$205)-MAX(H$3,0))</x:f>
        <x:v>0</x:v>
      </x:c>
      <x:c r="I37" s="38" t="n">
        <x:f>'Założenia'!$D$205/'Założenia'!$E$205*MAX(0,MIN(I$6,'Założenia'!$E$205)-MAX(I$3,0))</x:f>
        <x:v>0</x:v>
      </x:c>
      <x:c r="J37" s="38" t="n">
        <x:f>'Założenia'!$D$205/'Założenia'!$E$205*MAX(0,MIN(J$6,'Założenia'!$E$205)-MAX(J$3,0))</x:f>
        <x:v>0</x:v>
      </x:c>
      <x:c r="K37" s="38" t="n">
        <x:f>'Założenia'!$D$205/'Założenia'!$E$205*MAX(0,MIN(K$6,'Założenia'!$E$205)-MAX(K$3,0))</x:f>
        <x:v>0</x:v>
      </x:c>
      <x:c r="L37" s="38" t="n">
        <x:f>'Założenia'!$D$205/'Założenia'!$E$205*MAX(0,MIN(L$6,'Założenia'!$E$205)-MAX(L$3,0))</x:f>
        <x:v>0</x:v>
      </x:c>
      <x:c r="M37" s="38" t="n">
        <x:f>'Założenia'!$D$205/'Założenia'!$E$205*MAX(0,MIN(M$6,'Założenia'!$E$205)-MAX(M$3,0))</x:f>
        <x:v>0</x:v>
      </x:c>
      <x:c r="N37" s="38" t="n">
        <x:f>'Założenia'!$D$205/'Założenia'!$E$205*MAX(0,MIN(N$6,'Założenia'!$E$205)-MAX(N$3,0))</x:f>
        <x:v>0</x:v>
      </x:c>
      <x:c r="O37" s="38" t="n">
        <x:f>'Założenia'!$D$205/'Założenia'!$E$205*MAX(0,MIN(O$6,'Założenia'!$E$205)-MAX(O$3,0))</x:f>
        <x:v>0</x:v>
      </x:c>
      <x:c r="P37" s="38" t="n">
        <x:f>'Założenia'!$D$205/'Założenia'!$E$205*MAX(0,MIN(P$6,'Założenia'!$E$205)-MAX(P$3,0))</x:f>
        <x:v>0</x:v>
      </x:c>
      <x:c r="Q37" s="38" t="n">
        <x:f>'Założenia'!$D$205/'Założenia'!$E$205*MAX(0,MIN(Q$6,'Założenia'!$E$205)-MAX(Q$3,0))</x:f>
        <x:v>0</x:v>
      </x:c>
      <x:c r="R37" s="38" t="n">
        <x:f>'Założenia'!$D$205/'Założenia'!$E$205*MAX(0,MIN(R$6,'Założenia'!$E$205)-MAX(R$3,0))</x:f>
        <x:v>0</x:v>
      </x:c>
      <x:c r="S37" s="38" t="n">
        <x:f>'Założenia'!$D$205/'Założenia'!$E$205*MAX(0,MIN(S$6,'Założenia'!$E$205)-MAX(S$3,0))</x:f>
        <x:v>0</x:v>
      </x:c>
    </x:row>
    <x:row r="38" ht="20" customHeight="1">
      <x:c r="A38" s="3"/>
      <x:c r="B38" s="3"/>
      <x:c r="C38" s="3" t="str">
        <x:v>D&amp;A nakładów Q4:26E</x:v>
      </x:c>
      <x:c r="D38" s="40" t="n">
        <x:f>D35/D36*MAX(0,MIN(D$6,(D$3+D$6)/2+D36)-MAX(D$3,(D$3+D$6)/2))</x:f>
        <x:v>49.350262500000014</x:v>
      </x:c>
      <x:c r="E38" s="40" t="n">
        <x:f>D35/D36*MAX(0,MIN(E$6,(D$3+D$6)/2+D36)-MAX(E$3,(D$3+D$6)/2))</x:f>
        <x:v>394.8021000000001</x:v>
      </x:c>
      <x:c r="F38" s="40" t="n">
        <x:f>D35/D36*MAX(0,MIN(F$6,(D$3+D$6)/2+D36)-MAX(F$3,(D$3+D$6)/2))</x:f>
        <x:v>394.8021000000001</x:v>
      </x:c>
      <x:c r="G38" s="40" t="n">
        <x:f>D35/D36*MAX(0,MIN(G$6,(D$3+D$6)/2+D36)-MAX(G$3,(D$3+D$6)/2))</x:f>
        <x:v>394.8021000000001</x:v>
      </x:c>
      <x:c r="H38" s="40" t="n">
        <x:f>D35/D36*MAX(0,MIN(H$6,(D$3+D$6)/2+D36)-MAX(H$3,(D$3+D$6)/2))</x:f>
        <x:v>345.4518375000001</x:v>
      </x:c>
      <x:c r="I38" s="40" t="n">
        <x:f>D35/D36*MAX(0,MIN(I$6,(D$3+D$6)/2+D36)-MAX(I$3,(D$3+D$6)/2))</x:f>
        <x:v>0</x:v>
      </x:c>
      <x:c r="J38" s="40" t="n">
        <x:f>D35/D36*MAX(0,MIN(J$6,(D$3+D$6)/2+D36)-MAX(J$3,(D$3+D$6)/2))</x:f>
        <x:v>0</x:v>
      </x:c>
      <x:c r="K38" s="40" t="n">
        <x:f>D35/D36*MAX(0,MIN(K$6,(D$3+D$6)/2+D36)-MAX(K$3,(D$3+D$6)/2))</x:f>
        <x:v>0</x:v>
      </x:c>
      <x:c r="L38" s="40" t="n">
        <x:f>D35/D36*MAX(0,MIN(L$6,(D$3+D$6)/2+D36)-MAX(L$3,(D$3+D$6)/2))</x:f>
        <x:v>0</x:v>
      </x:c>
      <x:c r="M38" s="40" t="n">
        <x:f>D35/D36*MAX(0,MIN(M$6,(D$3+D$6)/2+D36)-MAX(M$3,(D$3+D$6)/2))</x:f>
        <x:v>0</x:v>
      </x:c>
      <x:c r="N38" s="40" t="n">
        <x:f>D35/D36*MAX(0,MIN(N$6,(D$3+D$6)/2+D36)-MAX(N$3,(D$3+D$6)/2))</x:f>
        <x:v>0</x:v>
      </x:c>
      <x:c r="O38" s="40" t="n">
        <x:f>D35/D36*MAX(0,MIN(O$6,(D$3+D$6)/2+D36)-MAX(O$3,(D$3+D$6)/2))</x:f>
        <x:v>0</x:v>
      </x:c>
      <x:c r="P38" s="40" t="n">
        <x:f>D35/D36*MAX(0,MIN(P$6,(D$3+D$6)/2+D36)-MAX(P$3,(D$3+D$6)/2))</x:f>
        <x:v>0</x:v>
      </x:c>
      <x:c r="Q38" s="40" t="n">
        <x:f>D35/D36*MAX(0,MIN(Q$6,(D$3+D$6)/2+D36)-MAX(Q$3,(D$3+D$6)/2))</x:f>
        <x:v>0</x:v>
      </x:c>
      <x:c r="R38" s="40" t="n">
        <x:f>D35/D36*MAX(0,MIN(R$6,(D$3+D$6)/2+D36)-MAX(R$3,(D$3+D$6)/2))</x:f>
        <x:v>0</x:v>
      </x:c>
      <x:c r="S38" s="40" t="n">
        <x:f>D35/D36*MAX(0,MIN(S$6,(D$3+D$6)/2+D36)-MAX(S$3,(D$3+D$6)/2))</x:f>
        <x:v>0</x:v>
      </x:c>
    </x:row>
    <x:row r="39" ht="20" customHeight="1">
      <x:c r="A39" s="3"/>
      <x:c r="B39" s="3"/>
      <x:c r="C39" s="3" t="str">
        <x:v>D&amp;A nakładów 2027E</x:v>
      </x:c>
      <x:c r="D39" s="40" t="n">
        <x:f>0</x:f>
        <x:v>0</x:v>
      </x:c>
      <x:c r="E39" s="40" t="n">
        <x:f>E35/E36*MAX(0,MIN(E$6,(E$3+E$6)/2+E36)-MAX(E$3,(E$3+E$6)/2))</x:f>
        <x:v>869.8780706475196</x:v>
      </x:c>
      <x:c r="F39" s="40" t="n">
        <x:f>E35/E36*MAX(0,MIN(F$6,(E$3+E$6)/2+E36)-MAX(F$3,(E$3+E$6)/2))</x:f>
        <x:v>1739.7561412950392</x:v>
      </x:c>
      <x:c r="G39" s="40" t="n">
        <x:f>E35/E36*MAX(0,MIN(G$6,(E$3+E$6)/2+E36)-MAX(G$3,(E$3+E$6)/2))</x:f>
        <x:v>1739.7561412950392</x:v>
      </x:c>
      <x:c r="H39" s="40" t="n">
        <x:f>E35/E36*MAX(0,MIN(H$6,(E$3+E$6)/2+E36)-MAX(H$3,(E$3+E$6)/2))</x:f>
        <x:v>1739.7561412950392</x:v>
      </x:c>
      <x:c r="I39" s="40" t="n">
        <x:f>E35/E36*MAX(0,MIN(I$6,(E$3+E$6)/2+E36)-MAX(I$3,(E$3+E$6)/2))</x:f>
        <x:v>869.8780706475196</x:v>
      </x:c>
      <x:c r="J39" s="40" t="n">
        <x:f>E35/E36*MAX(0,MIN(J$6,(E$3+E$6)/2+E36)-MAX(J$3,(E$3+E$6)/2))</x:f>
        <x:v>0</x:v>
      </x:c>
      <x:c r="K39" s="40" t="n">
        <x:f>E35/E36*MAX(0,MIN(K$6,(E$3+E$6)/2+E36)-MAX(K$3,(E$3+E$6)/2))</x:f>
        <x:v>0</x:v>
      </x:c>
      <x:c r="L39" s="40" t="n">
        <x:f>E35/E36*MAX(0,MIN(L$6,(E$3+E$6)/2+E36)-MAX(L$3,(E$3+E$6)/2))</x:f>
        <x:v>0</x:v>
      </x:c>
      <x:c r="M39" s="40" t="n">
        <x:f>E35/E36*MAX(0,MIN(M$6,(E$3+E$6)/2+E36)-MAX(M$3,(E$3+E$6)/2))</x:f>
        <x:v>0</x:v>
      </x:c>
      <x:c r="N39" s="40" t="n">
        <x:f>E35/E36*MAX(0,MIN(N$6,(E$3+E$6)/2+E36)-MAX(N$3,(E$3+E$6)/2))</x:f>
        <x:v>0</x:v>
      </x:c>
      <x:c r="O39" s="40" t="n">
        <x:f>E35/E36*MAX(0,MIN(O$6,(E$3+E$6)/2+E36)-MAX(O$3,(E$3+E$6)/2))</x:f>
        <x:v>0</x:v>
      </x:c>
      <x:c r="P39" s="40" t="n">
        <x:f>E35/E36*MAX(0,MIN(P$6,(E$3+E$6)/2+E36)-MAX(P$3,(E$3+E$6)/2))</x:f>
        <x:v>0</x:v>
      </x:c>
      <x:c r="Q39" s="40" t="n">
        <x:f>E35/E36*MAX(0,MIN(Q$6,(E$3+E$6)/2+E36)-MAX(Q$3,(E$3+E$6)/2))</x:f>
        <x:v>0</x:v>
      </x:c>
      <x:c r="R39" s="40" t="n">
        <x:f>E35/E36*MAX(0,MIN(R$6,(E$3+E$6)/2+E36)-MAX(R$3,(E$3+E$6)/2))</x:f>
        <x:v>0</x:v>
      </x:c>
      <x:c r="S39" s="40" t="n">
        <x:f>E35/E36*MAX(0,MIN(S$6,(E$3+E$6)/2+E36)-MAX(S$3,(E$3+E$6)/2))</x:f>
        <x:v>0</x:v>
      </x:c>
    </x:row>
    <x:row r="40" ht="20" customHeight="1">
      <x:c r="A40" s="3"/>
      <x:c r="B40" s="3"/>
      <x:c r="C40" s="3" t="str">
        <x:v>D&amp;A nakładów 2028E</x:v>
      </x:c>
      <x:c r="D40" s="40" t="n">
        <x:f>0</x:f>
        <x:v>0</x:v>
      </x:c>
      <x:c r="E40" s="40" t="n">
        <x:f>0</x:f>
        <x:v>0</x:v>
      </x:c>
      <x:c r="F40" s="40" t="n">
        <x:f>F35/F36*MAX(0,MIN(F$6,(F$3+F$6)/2+F36)-MAX(F$3,(F$3+F$6)/2))</x:f>
        <x:v>1037.170736869598</x:v>
      </x:c>
      <x:c r="G40" s="40" t="n">
        <x:f>F35/F36*MAX(0,MIN(G$6,(F$3+F$6)/2+F36)-MAX(G$3,(F$3+F$6)/2))</x:f>
        <x:v>2074.341473739196</x:v>
      </x:c>
      <x:c r="H40" s="40" t="n">
        <x:f>F35/F36*MAX(0,MIN(H$6,(F$3+F$6)/2+F36)-MAX(H$3,(F$3+F$6)/2))</x:f>
        <x:v>2074.341473739196</x:v>
      </x:c>
      <x:c r="I40" s="40" t="n">
        <x:f>F35/F36*MAX(0,MIN(I$6,(F$3+F$6)/2+F36)-MAX(I$3,(F$3+F$6)/2))</x:f>
        <x:v>2074.341473739196</x:v>
      </x:c>
      <x:c r="J40" s="40" t="n">
        <x:f>F35/F36*MAX(0,MIN(J$6,(F$3+F$6)/2+F36)-MAX(J$3,(F$3+F$6)/2))</x:f>
        <x:v>1037.170736869598</x:v>
      </x:c>
      <x:c r="K40" s="40" t="n">
        <x:f>F35/F36*MAX(0,MIN(K$6,(F$3+F$6)/2+F36)-MAX(K$3,(F$3+F$6)/2))</x:f>
        <x:v>0</x:v>
      </x:c>
      <x:c r="L40" s="40" t="n">
        <x:f>F35/F36*MAX(0,MIN(L$6,(F$3+F$6)/2+F36)-MAX(L$3,(F$3+F$6)/2))</x:f>
        <x:v>0</x:v>
      </x:c>
      <x:c r="M40" s="40" t="n">
        <x:f>F35/F36*MAX(0,MIN(M$6,(F$3+F$6)/2+F36)-MAX(M$3,(F$3+F$6)/2))</x:f>
        <x:v>0</x:v>
      </x:c>
      <x:c r="N40" s="40" t="n">
        <x:f>F35/F36*MAX(0,MIN(N$6,(F$3+F$6)/2+F36)-MAX(N$3,(F$3+F$6)/2))</x:f>
        <x:v>0</x:v>
      </x:c>
      <x:c r="O40" s="40" t="n">
        <x:f>F35/F36*MAX(0,MIN(O$6,(F$3+F$6)/2+F36)-MAX(O$3,(F$3+F$6)/2))</x:f>
        <x:v>0</x:v>
      </x:c>
      <x:c r="P40" s="40" t="n">
        <x:f>F35/F36*MAX(0,MIN(P$6,(F$3+F$6)/2+F36)-MAX(P$3,(F$3+F$6)/2))</x:f>
        <x:v>0</x:v>
      </x:c>
      <x:c r="Q40" s="40" t="n">
        <x:f>F35/F36*MAX(0,MIN(Q$6,(F$3+F$6)/2+F36)-MAX(Q$3,(F$3+F$6)/2))</x:f>
        <x:v>0</x:v>
      </x:c>
      <x:c r="R40" s="40" t="n">
        <x:f>F35/F36*MAX(0,MIN(R$6,(F$3+F$6)/2+F36)-MAX(R$3,(F$3+F$6)/2))</x:f>
        <x:v>0</x:v>
      </x:c>
      <x:c r="S40" s="40" t="n">
        <x:f>F35/F36*MAX(0,MIN(S$6,(F$3+F$6)/2+F36)-MAX(S$3,(F$3+F$6)/2))</x:f>
        <x:v>0</x:v>
      </x:c>
    </x:row>
    <x:row r="41" ht="20" customHeight="1">
      <x:c r="A41" s="3"/>
      <x:c r="B41" s="3"/>
      <x:c r="C41" s="3" t="str">
        <x:v>D&amp;A nakładów 2029E</x:v>
      </x:c>
      <x:c r="D41" s="40" t="n">
        <x:f>0</x:f>
        <x:v>0</x:v>
      </x:c>
      <x:c r="E41" s="40" t="n">
        <x:f>0</x:f>
        <x:v>0</x:v>
      </x:c>
      <x:c r="F41" s="40" t="n">
        <x:f>0</x:f>
        <x:v>0</x:v>
      </x:c>
      <x:c r="G41" s="40" t="n">
        <x:f>G35/G36*MAX(0,MIN(G$6,(G$3+G$6)/2+G36)-MAX(G$3,(G$3+G$6)/2))</x:f>
        <x:v>1236.653539975285</x:v>
      </x:c>
      <x:c r="H41" s="40" t="n">
        <x:f>G35/G36*MAX(0,MIN(H$6,(G$3+G$6)/2+G36)-MAX(H$3,(G$3+G$6)/2))</x:f>
        <x:v>2473.30707995057</x:v>
      </x:c>
      <x:c r="I41" s="40" t="n">
        <x:f>G35/G36*MAX(0,MIN(I$6,(G$3+G$6)/2+G36)-MAX(I$3,(G$3+G$6)/2))</x:f>
        <x:v>2473.30707995057</x:v>
      </x:c>
      <x:c r="J41" s="40" t="n">
        <x:f>G35/G36*MAX(0,MIN(J$6,(G$3+G$6)/2+G36)-MAX(J$3,(G$3+G$6)/2))</x:f>
        <x:v>2473.30707995057</x:v>
      </x:c>
      <x:c r="K41" s="40" t="n">
        <x:f>G35/G36*MAX(0,MIN(K$6,(G$3+G$6)/2+G36)-MAX(K$3,(G$3+G$6)/2))</x:f>
        <x:v>1236.653539975285</x:v>
      </x:c>
      <x:c r="L41" s="40" t="n">
        <x:f>G35/G36*MAX(0,MIN(L$6,(G$3+G$6)/2+G36)-MAX(L$3,(G$3+G$6)/2))</x:f>
        <x:v>0</x:v>
      </x:c>
      <x:c r="M41" s="40" t="n">
        <x:f>G35/G36*MAX(0,MIN(M$6,(G$3+G$6)/2+G36)-MAX(M$3,(G$3+G$6)/2))</x:f>
        <x:v>0</x:v>
      </x:c>
      <x:c r="N41" s="40" t="n">
        <x:f>G35/G36*MAX(0,MIN(N$6,(G$3+G$6)/2+G36)-MAX(N$3,(G$3+G$6)/2))</x:f>
        <x:v>0</x:v>
      </x:c>
      <x:c r="O41" s="40" t="n">
        <x:f>G35/G36*MAX(0,MIN(O$6,(G$3+G$6)/2+G36)-MAX(O$3,(G$3+G$6)/2))</x:f>
        <x:v>0</x:v>
      </x:c>
      <x:c r="P41" s="40" t="n">
        <x:f>G35/G36*MAX(0,MIN(P$6,(G$3+G$6)/2+G36)-MAX(P$3,(G$3+G$6)/2))</x:f>
        <x:v>0</x:v>
      </x:c>
      <x:c r="Q41" s="40" t="n">
        <x:f>G35/G36*MAX(0,MIN(Q$6,(G$3+G$6)/2+G36)-MAX(Q$3,(G$3+G$6)/2))</x:f>
        <x:v>0</x:v>
      </x:c>
      <x:c r="R41" s="40" t="n">
        <x:f>G35/G36*MAX(0,MIN(R$6,(G$3+G$6)/2+G36)-MAX(R$3,(G$3+G$6)/2))</x:f>
        <x:v>0</x:v>
      </x:c>
      <x:c r="S41" s="40" t="n">
        <x:f>G35/G36*MAX(0,MIN(S$6,(G$3+G$6)/2+G36)-MAX(S$3,(G$3+G$6)/2))</x:f>
        <x:v>0</x:v>
      </x:c>
    </x:row>
    <x:row r="42" ht="20" customHeight="1">
      <x:c r="A42" s="3"/>
      <x:c r="B42" s="3"/>
      <x:c r="C42" s="3" t="str">
        <x:v>D&amp;A nakładów 2030E</x:v>
      </x:c>
      <x:c r="D42" s="40" t="n">
        <x:f>0</x:f>
        <x:v>0</x:v>
      </x:c>
      <x:c r="E42" s="40" t="n">
        <x:f>0</x:f>
        <x:v>0</x:v>
      </x:c>
      <x:c r="F42" s="40" t="n">
        <x:f>0</x:f>
        <x:v>0</x:v>
      </x:c>
      <x:c r="G42" s="40" t="n">
        <x:f>0</x:f>
        <x:v>0</x:v>
      </x:c>
      <x:c r="H42" s="40" t="n">
        <x:f>H35/H36*MAX(0,MIN(H$6,(H$3+H$6)/2+H36)-MAX(H$3,(H$3+H$6)/2))</x:f>
        <x:v>1474.5236995459209</x:v>
      </x:c>
      <x:c r="I42" s="40" t="n">
        <x:f>H35/H36*MAX(0,MIN(I$6,(H$3+H$6)/2+H36)-MAX(I$3,(H$3+H$6)/2))</x:f>
        <x:v>2949.0473990918417</x:v>
      </x:c>
      <x:c r="J42" s="40" t="n">
        <x:f>H35/H36*MAX(0,MIN(J$6,(H$3+H$6)/2+H36)-MAX(J$3,(H$3+H$6)/2))</x:f>
        <x:v>2949.0473990918417</x:v>
      </x:c>
      <x:c r="K42" s="40" t="n">
        <x:f>H35/H36*MAX(0,MIN(K$6,(H$3+H$6)/2+H36)-MAX(K$3,(H$3+H$6)/2))</x:f>
        <x:v>2949.0473990918417</x:v>
      </x:c>
      <x:c r="L42" s="40" t="n">
        <x:f>H35/H36*MAX(0,MIN(L$6,(H$3+H$6)/2+H36)-MAX(L$3,(H$3+H$6)/2))</x:f>
        <x:v>1474.5236995459209</x:v>
      </x:c>
      <x:c r="M42" s="40" t="n">
        <x:f>H35/H36*MAX(0,MIN(M$6,(H$3+H$6)/2+H36)-MAX(M$3,(H$3+H$6)/2))</x:f>
        <x:v>0</x:v>
      </x:c>
      <x:c r="N42" s="40" t="n">
        <x:f>H35/H36*MAX(0,MIN(N$6,(H$3+H$6)/2+H36)-MAX(N$3,(H$3+H$6)/2))</x:f>
        <x:v>0</x:v>
      </x:c>
      <x:c r="O42" s="40" t="n">
        <x:f>H35/H36*MAX(0,MIN(O$6,(H$3+H$6)/2+H36)-MAX(O$3,(H$3+H$6)/2))</x:f>
        <x:v>0</x:v>
      </x:c>
      <x:c r="P42" s="40" t="n">
        <x:f>H35/H36*MAX(0,MIN(P$6,(H$3+H$6)/2+H36)-MAX(P$3,(H$3+H$6)/2))</x:f>
        <x:v>0</x:v>
      </x:c>
      <x:c r="Q42" s="40" t="n">
        <x:f>H35/H36*MAX(0,MIN(Q$6,(H$3+H$6)/2+H36)-MAX(Q$3,(H$3+H$6)/2))</x:f>
        <x:v>0</x:v>
      </x:c>
      <x:c r="R42" s="40" t="n">
        <x:f>H35/H36*MAX(0,MIN(R$6,(H$3+H$6)/2+H36)-MAX(R$3,(H$3+H$6)/2))</x:f>
        <x:v>0</x:v>
      </x:c>
      <x:c r="S42" s="40" t="n">
        <x:f>H35/H36*MAX(0,MIN(S$6,(H$3+H$6)/2+H36)-MAX(S$3,(H$3+H$6)/2))</x:f>
        <x:v>0</x:v>
      </x:c>
    </x:row>
    <x:row r="43" ht="20" customHeight="1">
      <x:c r="A43" s="3"/>
      <x:c r="B43" s="3"/>
      <x:c r="C43" s="3" t="str">
        <x:v>D&amp;A nakładów 2031E</x:v>
      </x:c>
      <x:c r="D43" s="40" t="n">
        <x:f>0</x:f>
        <x:v>0</x:v>
      </x:c>
      <x:c r="E43" s="40" t="n">
        <x:f>0</x:f>
        <x:v>0</x:v>
      </x:c>
      <x:c r="F43" s="40" t="n">
        <x:f>0</x:f>
        <x:v>0</x:v>
      </x:c>
      <x:c r="G43" s="40" t="n">
        <x:f>0</x:f>
        <x:v>0</x:v>
      </x:c>
      <x:c r="H43" s="40" t="n">
        <x:f>0</x:f>
        <x:v>0</x:v>
      </x:c>
      <x:c r="I43" s="40" t="n">
        <x:f>I35/I36*MAX(0,MIN(I$6,(I$3+I$6)/2+I36)-MAX(I$3,(I$3+I$6)/2))</x:f>
        <x:v>1628.897378669917</x:v>
      </x:c>
      <x:c r="J43" s="40" t="n">
        <x:f>I35/I36*MAX(0,MIN(J$6,(I$3+I$6)/2+I36)-MAX(J$3,(I$3+I$6)/2))</x:f>
        <x:v>3257.794757339834</x:v>
      </x:c>
      <x:c r="K43" s="40" t="n">
        <x:f>I35/I36*MAX(0,MIN(K$6,(I$3+I$6)/2+I36)-MAX(K$3,(I$3+I$6)/2))</x:f>
        <x:v>3257.794757339834</x:v>
      </x:c>
      <x:c r="L43" s="40" t="n">
        <x:f>I35/I36*MAX(0,MIN(L$6,(I$3+I$6)/2+I36)-MAX(L$3,(I$3+I$6)/2))</x:f>
        <x:v>3257.794757339834</x:v>
      </x:c>
      <x:c r="M43" s="40" t="n">
        <x:f>I35/I36*MAX(0,MIN(M$6,(I$3+I$6)/2+I36)-MAX(M$3,(I$3+I$6)/2))</x:f>
        <x:v>1628.897378669917</x:v>
      </x:c>
      <x:c r="N43" s="40" t="n">
        <x:f>I35/I36*MAX(0,MIN(N$6,(I$3+I$6)/2+I36)-MAX(N$3,(I$3+I$6)/2))</x:f>
        <x:v>0</x:v>
      </x:c>
      <x:c r="O43" s="40" t="n">
        <x:f>I35/I36*MAX(0,MIN(O$6,(I$3+I$6)/2+I36)-MAX(O$3,(I$3+I$6)/2))</x:f>
        <x:v>0</x:v>
      </x:c>
      <x:c r="P43" s="40" t="n">
        <x:f>I35/I36*MAX(0,MIN(P$6,(I$3+I$6)/2+I36)-MAX(P$3,(I$3+I$6)/2))</x:f>
        <x:v>0</x:v>
      </x:c>
      <x:c r="Q43" s="40" t="n">
        <x:f>I35/I36*MAX(0,MIN(Q$6,(I$3+I$6)/2+I36)-MAX(Q$3,(I$3+I$6)/2))</x:f>
        <x:v>0</x:v>
      </x:c>
      <x:c r="R43" s="40" t="n">
        <x:f>I35/I36*MAX(0,MIN(R$6,(I$3+I$6)/2+I36)-MAX(R$3,(I$3+I$6)/2))</x:f>
        <x:v>0</x:v>
      </x:c>
      <x:c r="S43" s="40" t="n">
        <x:f>I35/I36*MAX(0,MIN(S$6,(I$3+I$6)/2+I36)-MAX(S$3,(I$3+I$6)/2))</x:f>
        <x:v>0</x:v>
      </x:c>
    </x:row>
    <x:row r="44" ht="20" customHeight="1">
      <x:c r="A44" s="3"/>
      <x:c r="B44" s="3"/>
      <x:c r="C44" s="3" t="str">
        <x:v>D&amp;A nakładów 2032E</x:v>
      </x:c>
      <x:c r="D44" s="40" t="n">
        <x:f>0</x:f>
        <x:v>0</x:v>
      </x:c>
      <x:c r="E44" s="40" t="n">
        <x:f>0</x:f>
        <x:v>0</x:v>
      </x:c>
      <x:c r="F44" s="40" t="n">
        <x:f>0</x:f>
        <x:v>0</x:v>
      </x:c>
      <x:c r="G44" s="40" t="n">
        <x:f>0</x:f>
        <x:v>0</x:v>
      </x:c>
      <x:c r="H44" s="40" t="n">
        <x:f>0</x:f>
        <x:v>0</x:v>
      </x:c>
      <x:c r="I44" s="40" t="n">
        <x:f>0</x:f>
        <x:v>0</x:v>
      </x:c>
      <x:c r="J44" s="40" t="n">
        <x:f>J35/J36*MAX(0,MIN(J$6,(J$3+J$6)/2+J36)-MAX(J$3,(J$3+J$6)/2))</x:f>
        <x:v>1787.951547599709</x:v>
      </x:c>
      <x:c r="K44" s="40" t="n">
        <x:f>J35/J36*MAX(0,MIN(K$6,(J$3+J$6)/2+J36)-MAX(K$3,(J$3+J$6)/2))</x:f>
        <x:v>3575.903095199418</x:v>
      </x:c>
      <x:c r="L44" s="40" t="n">
        <x:f>J35/J36*MAX(0,MIN(L$6,(J$3+J$6)/2+J36)-MAX(L$3,(J$3+J$6)/2))</x:f>
        <x:v>3575.903095199418</x:v>
      </x:c>
      <x:c r="M44" s="40" t="n">
        <x:f>J35/J36*MAX(0,MIN(M$6,(J$3+J$6)/2+J36)-MAX(M$3,(J$3+J$6)/2))</x:f>
        <x:v>3575.903095199418</x:v>
      </x:c>
      <x:c r="N44" s="40" t="n">
        <x:f>J35/J36*MAX(0,MIN(N$6,(J$3+J$6)/2+J36)-MAX(N$3,(J$3+J$6)/2))</x:f>
        <x:v>1787.951547599709</x:v>
      </x:c>
      <x:c r="O44" s="40" t="n">
        <x:f>J35/J36*MAX(0,MIN(O$6,(J$3+J$6)/2+J36)-MAX(O$3,(J$3+J$6)/2))</x:f>
        <x:v>0</x:v>
      </x:c>
      <x:c r="P44" s="40" t="n">
        <x:f>J35/J36*MAX(0,MIN(P$6,(J$3+J$6)/2+J36)-MAX(P$3,(J$3+J$6)/2))</x:f>
        <x:v>0</x:v>
      </x:c>
      <x:c r="Q44" s="40" t="n">
        <x:f>J35/J36*MAX(0,MIN(Q$6,(J$3+J$6)/2+J36)-MAX(Q$3,(J$3+J$6)/2))</x:f>
        <x:v>0</x:v>
      </x:c>
      <x:c r="R44" s="40" t="n">
        <x:f>J35/J36*MAX(0,MIN(R$6,(J$3+J$6)/2+J36)-MAX(R$3,(J$3+J$6)/2))</x:f>
        <x:v>0</x:v>
      </x:c>
      <x:c r="S44" s="40" t="n">
        <x:f>J35/J36*MAX(0,MIN(S$6,(J$3+J$6)/2+J36)-MAX(S$3,(J$3+J$6)/2))</x:f>
        <x:v>0</x:v>
      </x:c>
    </x:row>
    <x:row r="45" ht="20" customHeight="1">
      <x:c r="A45" s="3"/>
      <x:c r="B45" s="3"/>
      <x:c r="C45" s="3" t="str">
        <x:v>D&amp;A nakładów 2033E</x:v>
      </x:c>
      <x:c r="D45" s="40" t="n">
        <x:f>0</x:f>
        <x:v>0</x:v>
      </x:c>
      <x:c r="E45" s="40" t="n">
        <x:f>0</x:f>
        <x:v>0</x:v>
      </x:c>
      <x:c r="F45" s="40" t="n">
        <x:f>0</x:f>
        <x:v>0</x:v>
      </x:c>
      <x:c r="G45" s="40" t="n">
        <x:f>0</x:f>
        <x:v>0</x:v>
      </x:c>
      <x:c r="H45" s="40" t="n">
        <x:f>0</x:f>
        <x:v>0</x:v>
      </x:c>
      <x:c r="I45" s="40" t="n">
        <x:f>0</x:f>
        <x:v>0</x:v>
      </x:c>
      <x:c r="J45" s="40" t="n">
        <x:f>0</x:f>
        <x:v>0</x:v>
      </x:c>
      <x:c r="K45" s="40" t="n">
        <x:f>K35/K36*MAX(0,MIN(K$6,(K$3+K$6)/2+K36)-MAX(K$3,(K$3+K$6)/2))</x:f>
        <x:v>1962.9173491649253</x:v>
      </x:c>
      <x:c r="L45" s="40" t="n">
        <x:f>K35/K36*MAX(0,MIN(L$6,(K$3+K$6)/2+K36)-MAX(L$3,(K$3+K$6)/2))</x:f>
        <x:v>3925.8346983298507</x:v>
      </x:c>
      <x:c r="M45" s="40" t="n">
        <x:f>K35/K36*MAX(0,MIN(M$6,(K$3+K$6)/2+K36)-MAX(M$3,(K$3+K$6)/2))</x:f>
        <x:v>3925.8346983298507</x:v>
      </x:c>
      <x:c r="N45" s="40" t="n">
        <x:f>K35/K36*MAX(0,MIN(N$6,(K$3+K$6)/2+K36)-MAX(N$3,(K$3+K$6)/2))</x:f>
        <x:v>3925.8346983298507</x:v>
      </x:c>
      <x:c r="O45" s="40" t="n">
        <x:f>K35/K36*MAX(0,MIN(O$6,(K$3+K$6)/2+K36)-MAX(O$3,(K$3+K$6)/2))</x:f>
        <x:v>1962.9173491649253</x:v>
      </x:c>
      <x:c r="P45" s="40" t="n">
        <x:f>K35/K36*MAX(0,MIN(P$6,(K$3+K$6)/2+K36)-MAX(P$3,(K$3+K$6)/2))</x:f>
        <x:v>0</x:v>
      </x:c>
      <x:c r="Q45" s="40" t="n">
        <x:f>K35/K36*MAX(0,MIN(Q$6,(K$3+K$6)/2+K36)-MAX(Q$3,(K$3+K$6)/2))</x:f>
        <x:v>0</x:v>
      </x:c>
      <x:c r="R45" s="40" t="n">
        <x:f>K35/K36*MAX(0,MIN(R$6,(K$3+K$6)/2+K36)-MAX(R$3,(K$3+K$6)/2))</x:f>
        <x:v>0</x:v>
      </x:c>
      <x:c r="S45" s="40" t="n">
        <x:f>K35/K36*MAX(0,MIN(S$6,(K$3+K$6)/2+K36)-MAX(S$3,(K$3+K$6)/2))</x:f>
        <x:v>0</x:v>
      </x:c>
    </x:row>
    <x:row r="46" ht="20" customHeight="1">
      <x:c r="A46" s="3"/>
      <x:c r="B46" s="3"/>
      <x:c r="C46" s="3" t="str">
        <x:v>D&amp;A nakładów 2034E</x:v>
      </x:c>
      <x:c r="D46" s="40" t="n">
        <x:f>0</x:f>
        <x:v>0</x:v>
      </x:c>
      <x:c r="E46" s="40" t="n">
        <x:f>0</x:f>
        <x:v>0</x:v>
      </x:c>
      <x:c r="F46" s="40" t="n">
        <x:f>0</x:f>
        <x:v>0</x:v>
      </x:c>
      <x:c r="G46" s="40" t="n">
        <x:f>0</x:f>
        <x:v>0</x:v>
      </x:c>
      <x:c r="H46" s="40" t="n">
        <x:f>0</x:f>
        <x:v>0</x:v>
      </x:c>
      <x:c r="I46" s="40" t="n">
        <x:f>0</x:f>
        <x:v>0</x:v>
      </x:c>
      <x:c r="J46" s="40" t="n">
        <x:f>0</x:f>
        <x:v>0</x:v>
      </x:c>
      <x:c r="K46" s="40" t="n">
        <x:f>0</x:f>
        <x:v>0</x:v>
      </x:c>
      <x:c r="L46" s="40" t="n">
        <x:f>L35/L36*MAX(0,MIN(L$6,(L$3+L$6)/2+L36)-MAX(L$3,(L$3+L$6)/2))</x:f>
        <x:v>2155.423914991728</x:v>
      </x:c>
      <x:c r="M46" s="40" t="n">
        <x:f>L35/L36*MAX(0,MIN(M$6,(L$3+L$6)/2+L36)-MAX(M$3,(L$3+L$6)/2))</x:f>
        <x:v>4310.847829983456</x:v>
      </x:c>
      <x:c r="N46" s="40" t="n">
        <x:f>L35/L36*MAX(0,MIN(N$6,(L$3+L$6)/2+L36)-MAX(N$3,(L$3+L$6)/2))</x:f>
        <x:v>4310.847829983456</x:v>
      </x:c>
      <x:c r="O46" s="40" t="n">
        <x:f>L35/L36*MAX(0,MIN(O$6,(L$3+L$6)/2+L36)-MAX(O$3,(L$3+L$6)/2))</x:f>
        <x:v>4310.847829983456</x:v>
      </x:c>
      <x:c r="P46" s="40" t="n">
        <x:f>L35/L36*MAX(0,MIN(P$6,(L$3+L$6)/2+L36)-MAX(P$3,(L$3+L$6)/2))</x:f>
        <x:v>2155.423914991728</x:v>
      </x:c>
      <x:c r="Q46" s="40" t="n">
        <x:f>L35/L36*MAX(0,MIN(Q$6,(L$3+L$6)/2+L36)-MAX(Q$3,(L$3+L$6)/2))</x:f>
        <x:v>0</x:v>
      </x:c>
      <x:c r="R46" s="40" t="n">
        <x:f>L35/L36*MAX(0,MIN(R$6,(L$3+L$6)/2+L36)-MAX(R$3,(L$3+L$6)/2))</x:f>
        <x:v>0</x:v>
      </x:c>
      <x:c r="S46" s="40" t="n">
        <x:f>L35/L36*MAX(0,MIN(S$6,(L$3+L$6)/2+L36)-MAX(S$3,(L$3+L$6)/2))</x:f>
        <x:v>0</x:v>
      </x:c>
    </x:row>
    <x:row r="47" ht="20" customHeight="1">
      <x:c r="A47" s="3"/>
      <x:c r="B47" s="3"/>
      <x:c r="C47" s="3" t="str">
        <x:v>D&amp;A nakładów 2035E</x:v>
      </x:c>
      <x:c r="D47" s="40" t="n">
        <x:f>0</x:f>
        <x:v>0</x:v>
      </x:c>
      <x:c r="E47" s="40" t="n">
        <x:f>0</x:f>
        <x:v>0</x:v>
      </x:c>
      <x:c r="F47" s="40" t="n">
        <x:f>0</x:f>
        <x:v>0</x:v>
      </x:c>
      <x:c r="G47" s="40" t="n">
        <x:f>0</x:f>
        <x:v>0</x:v>
      </x:c>
      <x:c r="H47" s="40" t="n">
        <x:f>0</x:f>
        <x:v>0</x:v>
      </x:c>
      <x:c r="I47" s="40" t="n">
        <x:f>0</x:f>
        <x:v>0</x:v>
      </x:c>
      <x:c r="J47" s="40" t="n">
        <x:f>0</x:f>
        <x:v>0</x:v>
      </x:c>
      <x:c r="K47" s="40" t="n">
        <x:f>0</x:f>
        <x:v>0</x:v>
      </x:c>
      <x:c r="L47" s="40" t="n">
        <x:f>0</x:f>
        <x:v>0</x:v>
      </x:c>
      <x:c r="M47" s="40" t="n">
        <x:f>M35/M36*MAX(0,MIN(M$6,(M$3+M$6)/2+M36)-MAX(M$3,(M$3+M$6)/2))</x:f>
        <x:v>2367.2707583348174</x:v>
      </x:c>
      <x:c r="N47" s="40" t="n">
        <x:f>M35/M36*MAX(0,MIN(N$6,(M$3+M$6)/2+M36)-MAX(N$3,(M$3+M$6)/2))</x:f>
        <x:v>4734.541516669635</x:v>
      </x:c>
      <x:c r="O47" s="40" t="n">
        <x:f>M35/M36*MAX(0,MIN(O$6,(M$3+M$6)/2+M36)-MAX(O$3,(M$3+M$6)/2))</x:f>
        <x:v>4734.541516669635</x:v>
      </x:c>
      <x:c r="P47" s="40" t="n">
        <x:f>M35/M36*MAX(0,MIN(P$6,(M$3+M$6)/2+M36)-MAX(P$3,(M$3+M$6)/2))</x:f>
        <x:v>4734.541516669635</x:v>
      </x:c>
      <x:c r="Q47" s="40" t="n">
        <x:f>M35/M36*MAX(0,MIN(Q$6,(M$3+M$6)/2+M36)-MAX(Q$3,(M$3+M$6)/2))</x:f>
        <x:v>2367.2707583348174</x:v>
      </x:c>
      <x:c r="R47" s="40" t="n">
        <x:f>M35/M36*MAX(0,MIN(R$6,(M$3+M$6)/2+M36)-MAX(R$3,(M$3+M$6)/2))</x:f>
        <x:v>0</x:v>
      </x:c>
      <x:c r="S47" s="40" t="n">
        <x:f>M35/M36*MAX(0,MIN(S$6,(M$3+M$6)/2+M36)-MAX(S$3,(M$3+M$6)/2))</x:f>
        <x:v>0</x:v>
      </x:c>
    </x:row>
    <x:row r="48" ht="20" customHeight="1">
      <x:c r="A48" s="3"/>
      <x:c r="B48" s="3"/>
      <x:c r="C48" s="3" t="str">
        <x:v>D&amp;A nakładów 2036E</x:v>
      </x:c>
      <x:c r="D48" s="40" t="n">
        <x:f>0</x:f>
        <x:v>0</x:v>
      </x:c>
      <x:c r="E48" s="40" t="n">
        <x:f>0</x:f>
        <x:v>0</x:v>
      </x:c>
      <x:c r="F48" s="40" t="n">
        <x:f>0</x:f>
        <x:v>0</x:v>
      </x:c>
      <x:c r="G48" s="40" t="n">
        <x:f>0</x:f>
        <x:v>0</x:v>
      </x:c>
      <x:c r="H48" s="40" t="n">
        <x:f>0</x:f>
        <x:v>0</x:v>
      </x:c>
      <x:c r="I48" s="40" t="n">
        <x:f>0</x:f>
        <x:v>0</x:v>
      </x:c>
      <x:c r="J48" s="40" t="n">
        <x:f>0</x:f>
        <x:v>0</x:v>
      </x:c>
      <x:c r="K48" s="40" t="n">
        <x:f>0</x:f>
        <x:v>0</x:v>
      </x:c>
      <x:c r="L48" s="40" t="n">
        <x:f>0</x:f>
        <x:v>0</x:v>
      </x:c>
      <x:c r="M48" s="40" t="n">
        <x:f>0</x:f>
        <x:v>0</x:v>
      </x:c>
      <x:c r="N48" s="40" t="n">
        <x:f>N35/N36*MAX(0,MIN(N$6,(N$3+N$6)/2+N36)-MAX(N$3,(N$3+N$6)/2))</x:f>
        <x:v>2437.0024757260185</x:v>
      </x:c>
      <x:c r="O48" s="40" t="n">
        <x:f>N35/N36*MAX(0,MIN(O$6,(N$3+N$6)/2+N36)-MAX(O$3,(N$3+N$6)/2))</x:f>
        <x:v>4874.004951452037</x:v>
      </x:c>
      <x:c r="P48" s="40" t="n">
        <x:f>N35/N36*MAX(0,MIN(P$6,(N$3+N$6)/2+N36)-MAX(P$3,(N$3+N$6)/2))</x:f>
        <x:v>4874.004951452037</x:v>
      </x:c>
      <x:c r="Q48" s="40" t="n">
        <x:f>N35/N36*MAX(0,MIN(Q$6,(N$3+N$6)/2+N36)-MAX(Q$3,(N$3+N$6)/2))</x:f>
        <x:v>4874.004951452037</x:v>
      </x:c>
      <x:c r="R48" s="40" t="n">
        <x:f>N35/N36*MAX(0,MIN(R$6,(N$3+N$6)/2+N36)-MAX(R$3,(N$3+N$6)/2))</x:f>
        <x:v>2437.0024757260185</x:v>
      </x:c>
      <x:c r="S48" s="40" t="n">
        <x:f>N35/N36*MAX(0,MIN(S$6,(N$3+N$6)/2+N36)-MAX(S$3,(N$3+N$6)/2))</x:f>
        <x:v>0</x:v>
      </x:c>
    </x:row>
    <x:row r="49" ht="20" customHeight="1">
      <x:c r="A49" s="3"/>
      <x:c r="B49" s="3"/>
      <x:c r="C49" s="3" t="str">
        <x:v>D&amp;A nakładów 2037E</x:v>
      </x:c>
      <x:c r="D49" s="40" t="n">
        <x:f>0</x:f>
        <x:v>0</x:v>
      </x:c>
      <x:c r="E49" s="40" t="n">
        <x:f>0</x:f>
        <x:v>0</x:v>
      </x:c>
      <x:c r="F49" s="40" t="n">
        <x:f>0</x:f>
        <x:v>0</x:v>
      </x:c>
      <x:c r="G49" s="40" t="n">
        <x:f>0</x:f>
        <x:v>0</x:v>
      </x:c>
      <x:c r="H49" s="40" t="n">
        <x:f>0</x:f>
        <x:v>0</x:v>
      </x:c>
      <x:c r="I49" s="40" t="n">
        <x:f>0</x:f>
        <x:v>0</x:v>
      </x:c>
      <x:c r="J49" s="40" t="n">
        <x:f>0</x:f>
        <x:v>0</x:v>
      </x:c>
      <x:c r="K49" s="40" t="n">
        <x:f>0</x:f>
        <x:v>0</x:v>
      </x:c>
      <x:c r="L49" s="40" t="n">
        <x:f>0</x:f>
        <x:v>0</x:v>
      </x:c>
      <x:c r="M49" s="40" t="n">
        <x:f>0</x:f>
        <x:v>0</x:v>
      </x:c>
      <x:c r="N49" s="40" t="n">
        <x:f>0</x:f>
        <x:v>0</x:v>
      </x:c>
      <x:c r="O49" s="40" t="n">
        <x:f>O35/O36*MAX(0,MIN(O$6,(O$3+O$6)/2+O36)-MAX(O$3,(O$3+O$6)/2))</x:f>
        <x:v>2497.376521355519</x:v>
      </x:c>
      <x:c r="P49" s="40" t="n">
        <x:f>O35/O36*MAX(0,MIN(P$6,(O$3+O$6)/2+O36)-MAX(P$3,(O$3+O$6)/2))</x:f>
        <x:v>4994.753042711038</x:v>
      </x:c>
      <x:c r="Q49" s="40" t="n">
        <x:f>O35/O36*MAX(0,MIN(Q$6,(O$3+O$6)/2+O36)-MAX(Q$3,(O$3+O$6)/2))</x:f>
        <x:v>4994.753042711038</x:v>
      </x:c>
      <x:c r="R49" s="40" t="n">
        <x:f>O35/O36*MAX(0,MIN(R$6,(O$3+O$6)/2+O36)-MAX(R$3,(O$3+O$6)/2))</x:f>
        <x:v>4994.753042711038</x:v>
      </x:c>
      <x:c r="S49" s="40" t="n">
        <x:f>O35/O36*MAX(0,MIN(S$6,(O$3+O$6)/2+O36)-MAX(S$3,(O$3+O$6)/2))</x:f>
        <x:v>2497.376521355519</x:v>
      </x:c>
    </x:row>
    <x:row r="50" ht="20" customHeight="1">
      <x:c r="A50" s="3"/>
      <x:c r="B50" s="3"/>
      <x:c r="C50" s="3" t="str">
        <x:v>D&amp;A nakładów 2038E</x:v>
      </x:c>
      <x:c r="D50" s="40" t="n">
        <x:f>0</x:f>
        <x:v>0</x:v>
      </x:c>
      <x:c r="E50" s="40" t="n">
        <x:f>0</x:f>
        <x:v>0</x:v>
      </x:c>
      <x:c r="F50" s="40" t="n">
        <x:f>0</x:f>
        <x:v>0</x:v>
      </x:c>
      <x:c r="G50" s="40" t="n">
        <x:f>0</x:f>
        <x:v>0</x:v>
      </x:c>
      <x:c r="H50" s="40" t="n">
        <x:f>0</x:f>
        <x:v>0</x:v>
      </x:c>
      <x:c r="I50" s="40" t="n">
        <x:f>0</x:f>
        <x:v>0</x:v>
      </x:c>
      <x:c r="J50" s="40" t="n">
        <x:f>0</x:f>
        <x:v>0</x:v>
      </x:c>
      <x:c r="K50" s="40" t="n">
        <x:f>0</x:f>
        <x:v>0</x:v>
      </x:c>
      <x:c r="L50" s="40" t="n">
        <x:f>0</x:f>
        <x:v>0</x:v>
      </x:c>
      <x:c r="M50" s="40" t="n">
        <x:f>0</x:f>
        <x:v>0</x:v>
      </x:c>
      <x:c r="N50" s="40" t="n">
        <x:f>0</x:f>
        <x:v>0</x:v>
      </x:c>
      <x:c r="O50" s="40" t="n">
        <x:f>0</x:f>
        <x:v>0</x:v>
      </x:c>
      <x:c r="P50" s="40" t="n">
        <x:f>P35/P36*MAX(0,MIN(P$6,(P$3+P$6)/2+P36)-MAX(P$3,(P$3+P$6)/2))</x:f>
        <x:v>2559.3389624174474</x:v>
      </x:c>
      <x:c r="Q50" s="40" t="n">
        <x:f>P35/P36*MAX(0,MIN(Q$6,(P$3+P$6)/2+P36)-MAX(Q$3,(P$3+P$6)/2))</x:f>
        <x:v>5118.677924834895</x:v>
      </x:c>
      <x:c r="R50" s="40" t="n">
        <x:f>P35/P36*MAX(0,MIN(R$6,(P$3+P$6)/2+P36)-MAX(R$3,(P$3+P$6)/2))</x:f>
        <x:v>5118.677924834895</x:v>
      </x:c>
      <x:c r="S50" s="40" t="n">
        <x:f>P35/P36*MAX(0,MIN(S$6,(P$3+P$6)/2+P36)-MAX(S$3,(P$3+P$6)/2))</x:f>
        <x:v>5118.677924834895</x:v>
      </x:c>
    </x:row>
    <x:row r="51" ht="20" customHeight="1">
      <x:c r="A51" s="3"/>
      <x:c r="B51" s="3"/>
      <x:c r="C51" s="3" t="str">
        <x:v>D&amp;A nakładów 2039E</x:v>
      </x:c>
      <x:c r="D51" s="40" t="n">
        <x:f>0</x:f>
        <x:v>0</x:v>
      </x:c>
      <x:c r="E51" s="40" t="n">
        <x:f>0</x:f>
        <x:v>0</x:v>
      </x:c>
      <x:c r="F51" s="40" t="n">
        <x:f>0</x:f>
        <x:v>0</x:v>
      </x:c>
      <x:c r="G51" s="40" t="n">
        <x:f>0</x:f>
        <x:v>0</x:v>
      </x:c>
      <x:c r="H51" s="40" t="n">
        <x:f>0</x:f>
        <x:v>0</x:v>
      </x:c>
      <x:c r="I51" s="40" t="n">
        <x:f>0</x:f>
        <x:v>0</x:v>
      </x:c>
      <x:c r="J51" s="40" t="n">
        <x:f>0</x:f>
        <x:v>0</x:v>
      </x:c>
      <x:c r="K51" s="40" t="n">
        <x:f>0</x:f>
        <x:v>0</x:v>
      </x:c>
      <x:c r="L51" s="40" t="n">
        <x:f>0</x:f>
        <x:v>0</x:v>
      </x:c>
      <x:c r="M51" s="40" t="n">
        <x:f>0</x:f>
        <x:v>0</x:v>
      </x:c>
      <x:c r="N51" s="40" t="n">
        <x:f>0</x:f>
        <x:v>0</x:v>
      </x:c>
      <x:c r="O51" s="40" t="n">
        <x:f>0</x:f>
        <x:v>0</x:v>
      </x:c>
      <x:c r="P51" s="40" t="n">
        <x:f>0</x:f>
        <x:v>0</x:v>
      </x:c>
      <x:c r="Q51" s="40" t="n">
        <x:f>Q35/Q36*MAX(0,MIN(Q$6,(Q$3+Q$6)/2+Q36)-MAX(Q$3,(Q$3+Q$6)/2))</x:f>
        <x:v>2622.933669839402</x:v>
      </x:c>
      <x:c r="R51" s="40" t="n">
        <x:f>Q35/Q36*MAX(0,MIN(R$6,(Q$3+Q$6)/2+Q36)-MAX(R$3,(Q$3+Q$6)/2))</x:f>
        <x:v>5245.867339678804</x:v>
      </x:c>
      <x:c r="S51" s="40" t="n">
        <x:f>Q35/Q36*MAX(0,MIN(S$6,(Q$3+Q$6)/2+Q36)-MAX(S$3,(Q$3+Q$6)/2))</x:f>
        <x:v>5245.867339678804</x:v>
      </x:c>
    </x:row>
    <x:row r="52" ht="20" customHeight="1">
      <x:c r="A52" s="3"/>
      <x:c r="B52" s="3"/>
      <x:c r="C52" s="3" t="str">
        <x:v>D&amp;A nakładów 2040E</x:v>
      </x:c>
      <x:c r="D52" s="40" t="n">
        <x:f>0</x:f>
        <x:v>0</x:v>
      </x:c>
      <x:c r="E52" s="40" t="n">
        <x:f>0</x:f>
        <x:v>0</x:v>
      </x:c>
      <x:c r="F52" s="40" t="n">
        <x:f>0</x:f>
        <x:v>0</x:v>
      </x:c>
      <x:c r="G52" s="40" t="n">
        <x:f>0</x:f>
        <x:v>0</x:v>
      </x:c>
      <x:c r="H52" s="40" t="n">
        <x:f>0</x:f>
        <x:v>0</x:v>
      </x:c>
      <x:c r="I52" s="40" t="n">
        <x:f>0</x:f>
        <x:v>0</x:v>
      </x:c>
      <x:c r="J52" s="40" t="n">
        <x:f>0</x:f>
        <x:v>0</x:v>
      </x:c>
      <x:c r="K52" s="40" t="n">
        <x:f>0</x:f>
        <x:v>0</x:v>
      </x:c>
      <x:c r="L52" s="40" t="n">
        <x:f>0</x:f>
        <x:v>0</x:v>
      </x:c>
      <x:c r="M52" s="40" t="n">
        <x:f>0</x:f>
        <x:v>0</x:v>
      </x:c>
      <x:c r="N52" s="40" t="n">
        <x:f>0</x:f>
        <x:v>0</x:v>
      </x:c>
      <x:c r="O52" s="40" t="n">
        <x:f>0</x:f>
        <x:v>0</x:v>
      </x:c>
      <x:c r="P52" s="40" t="n">
        <x:f>0</x:f>
        <x:v>0</x:v>
      </x:c>
      <x:c r="Q52" s="40" t="n">
        <x:f>0</x:f>
        <x:v>0</x:v>
      </x:c>
      <x:c r="R52" s="40" t="n">
        <x:f>R35/R36*MAX(0,MIN(R$6,(R$3+R$6)/2+R36)-MAX(R$3,(R$3+R$6)/2))</x:f>
        <x:v>2688.2057702653615</x:v>
      </x:c>
      <x:c r="S52" s="40" t="n">
        <x:f>R35/R36*MAX(0,MIN(S$6,(R$3+R$6)/2+R36)-MAX(S$3,(R$3+R$6)/2))</x:f>
        <x:v>5376.411540530723</x:v>
      </x:c>
    </x:row>
    <x:row r="53" ht="20" customHeight="1">
      <x:c r="A53" s="3"/>
      <x:c r="B53" s="3"/>
      <x:c r="C53" s="3" t="str">
        <x:v>D&amp;A nakładów 2041E</x:v>
      </x:c>
      <x:c r="D53" s="40" t="n">
        <x:f>0</x:f>
        <x:v>0</x:v>
      </x:c>
      <x:c r="E53" s="40" t="n">
        <x:f>0</x:f>
        <x:v>0</x:v>
      </x:c>
      <x:c r="F53" s="40" t="n">
        <x:f>0</x:f>
        <x:v>0</x:v>
      </x:c>
      <x:c r="G53" s="40" t="n">
        <x:f>0</x:f>
        <x:v>0</x:v>
      </x:c>
      <x:c r="H53" s="40" t="n">
        <x:f>0</x:f>
        <x:v>0</x:v>
      </x:c>
      <x:c r="I53" s="40" t="n">
        <x:f>0</x:f>
        <x:v>0</x:v>
      </x:c>
      <x:c r="J53" s="40" t="n">
        <x:f>0</x:f>
        <x:v>0</x:v>
      </x:c>
      <x:c r="K53" s="40" t="n">
        <x:f>0</x:f>
        <x:v>0</x:v>
      </x:c>
      <x:c r="L53" s="40" t="n">
        <x:f>0</x:f>
        <x:v>0</x:v>
      </x:c>
      <x:c r="M53" s="40" t="n">
        <x:f>0</x:f>
        <x:v>0</x:v>
      </x:c>
      <x:c r="N53" s="40" t="n">
        <x:f>0</x:f>
        <x:v>0</x:v>
      </x:c>
      <x:c r="O53" s="40" t="n">
        <x:f>0</x:f>
        <x:v>0</x:v>
      </x:c>
      <x:c r="P53" s="40" t="n">
        <x:f>0</x:f>
        <x:v>0</x:v>
      </x:c>
      <x:c r="Q53" s="40" t="n">
        <x:f>0</x:f>
        <x:v>0</x:v>
      </x:c>
      <x:c r="R53" s="40" t="n">
        <x:f>0</x:f>
        <x:v>0</x:v>
      </x:c>
      <x:c r="S53" s="40" t="n">
        <x:f>S35/S36*MAX(0,MIN(S$6,(S$3+S$6)/2+S36)-MAX(S$3,(S$3+S$6)/2))</x:f>
        <x:v>2755.2016828848678</x:v>
      </x:c>
    </x:row>
    <x:row r="54" ht="23" customHeight="1">
      <x:c r="A54" s="3"/>
      <x:c r="B54" s="3"/>
      <x:c r="C54" s="45" t="str">
        <x:v>D&amp;A razem</x:v>
      </x:c>
      <x:c r="D54" s="46" t="n">
        <x:f>SUM(D37:D53)</x:f>
        <x:v>1249.3502625</x:v>
      </x:c>
      <x:c r="E54" s="46" t="n">
        <x:f>SUM(E37:E53)</x:f>
        <x:v>6064.68017064752</x:v>
      </x:c>
      <x:c r="F54" s="46" t="n">
        <x:f>SUM(F37:F53)</x:f>
        <x:v>7971.728978164637</x:v>
      </x:c>
      <x:c r="G54" s="46" t="n">
        <x:f>SUM(G37:G53)</x:f>
        <x:v>6645.5532550095195</x:v>
      </x:c>
      <x:c r="H54" s="46" t="n">
        <x:f>SUM(H37:H53)</x:f>
        <x:v>8107.380232030725</x:v>
      </x:c>
      <x:c r="I54" s="46" t="n">
        <x:f>SUM(I37:I53)</x:f>
        <x:v>9995.471402099043</x:v>
      </x:c>
      <x:c r="J54" s="46" t="n">
        <x:f>SUM(J37:J53)</x:f>
        <x:v>11505.271520851553</x:v>
      </x:c>
      <x:c r="K54" s="46" t="n">
        <x:f>SUM(K37:K53)</x:f>
        <x:v>12982.316140771303</x:v>
      </x:c>
      <x:c r="L54" s="46" t="n">
        <x:f>SUM(L37:L53)</x:f>
        <x:v>14389.480165406752</x:v>
      </x:c>
      <x:c r="M54" s="46" t="n">
        <x:f>SUM(M37:M53)</x:f>
        <x:v>15808.753760517458</x:v>
      </x:c>
      <x:c r="N54" s="46" t="n">
        <x:f>SUM(N37:N53)</x:f>
        <x:v>17196.17806830867</x:v>
      </x:c>
      <x:c r="O54" s="46" t="n">
        <x:f>SUM(O37:O53)</x:f>
        <x:v>18379.688168625573</x:v>
      </x:c>
      <x:c r="P54" s="46" t="n">
        <x:f>SUM(P37:P53)</x:f>
        <x:v>19318.062388241884</x:v>
      </x:c>
      <x:c r="Q54" s="46" t="n">
        <x:f>SUM(Q37:Q53)</x:f>
        <x:v>19977.640347172186</x:v>
      </x:c>
      <x:c r="R54" s="46" t="n">
        <x:f>SUM(R37:R53)</x:f>
        <x:v>20484.506553216117</x:v>
      </x:c>
      <x:c r="S54" s="46" t="n">
        <x:f>SUM(S37:S53)</x:f>
        <x:v>20993.53500928481</x:v>
      </x:c>
    </x:row>
    <x:row r="55" ht="23" customHeight="1">
      <x:c r="A55" s="3"/>
      <x:c r="B55" s="3"/>
      <x:c r="C55" s="45" t="str">
        <x:v>Wartość netto na koniec</x:v>
      </x:c>
      <x:c r="D55" s="46" t="n">
        <x:f>SUM(D34:D35)-D54</x:f>
        <x:v>12329.8581375</x:v>
      </x:c>
      <x:c r="E55" s="46" t="n">
        <x:f>SUM(E34:E35)-E54</x:f>
        <x:v>13224.202532032636</x:v>
      </x:c>
      <x:c r="F55" s="46" t="n">
        <x:f>SUM(F34:F35)-F54</x:f>
        <x:v>13549.839448824783</x:v>
      </x:c>
      <x:c r="G55" s="46" t="n">
        <x:f>SUM(G34:G35)-G54</x:f>
        <x:v>16797.514513617545</x:v>
      </x:c>
      <x:c r="H55" s="46" t="n">
        <x:f>SUM(H34:H35)-H54</x:f>
        <x:v>20486.323877954186</x:v>
      </x:c>
      <x:c r="I55" s="46" t="n">
        <x:f>SUM(I34:I35)-I54</x:f>
        <x:v>23522.03150521448</x:v>
      </x:c>
      <x:c r="J55" s="46" t="n">
        <x:f>SUM(J34:J35)-J54</x:f>
        <x:v>26320.372365160605</x:v>
      </x:c>
      <x:c r="K55" s="46" t="n">
        <x:f>SUM(K34:K35)-K54</x:f>
        <x:v>29041.395017708703</x:v>
      </x:c>
      <x:c r="L55" s="46" t="n">
        <x:f>SUM(L34:L35)-L54</x:f>
        <x:v>31895.30617223577</x:v>
      </x:c>
      <x:c r="M55" s="46" t="n">
        <x:f>SUM(M34:M35)-M54</x:f>
        <x:v>35024.718478396855</x:v>
      </x:c>
      <x:c r="N55" s="46" t="n">
        <x:f>SUM(N34:N35)-N54</x:f>
        <x:v>37324.56021589633</x:v>
      </x:c>
      <x:c r="O55" s="46" t="n">
        <x:f>SUM(O34:O35)-O54</x:f>
        <x:v>38923.88421811491</x:v>
      </x:c>
      <x:c r="P55" s="46" t="n">
        <x:f>SUM(P34:P35)-P54</x:f>
        <x:v>40080.5335292126</x:v>
      </x:c>
      <x:c r="Q55" s="46" t="n">
        <x:f>SUM(Q34:Q35)-Q54</x:f>
        <x:v>41086.362540755625</x:v>
      </x:c>
      <x:c r="R55" s="46" t="n">
        <x:f>SUM(R34:R35)-R54</x:f>
        <x:v>42107.5021496624</x:v>
      </x:c>
      <x:c r="S55" s="46" t="n">
        <x:f>SUM(S34:S35)-S54</x:f>
        <x:v>43155.58060345653</x:v>
      </x:c>
    </x:row>
    <x:row r="56" ht="20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3" customHeight="1">
      <x:c r="A58" s="3"/>
      <x:c r="B58" s="3"/>
      <x:c r="C58" s="17" t="str">
        <x:v>Connectivity: infrastruktura</x:v>
      </x:c>
      <x:c r="D58" s="17"/>
      <x:c r="E58" s="17"/>
      <x:c r="F58" s="17"/>
      <x:c r="G58" s="17"/>
      <x:c r="H58" s="17"/>
      <x:c r="I58" s="17"/>
      <x:c r="J58" s="17"/>
      <x:c r="K58" s="17"/>
      <x:c r="L58" s="17"/>
      <x:c r="M58" s="17"/>
      <x:c r="N58" s="17"/>
      <x:c r="O58" s="17"/>
      <x:c r="P58" s="17"/>
      <x:c r="Q58" s="17"/>
      <x:c r="R58" s="17"/>
      <x:c r="S58" s="17"/>
    </x:row>
    <x:row r="59" ht="20" customHeight="1">
      <x:c r="A59" s="3"/>
      <x:c r="B59" s="3"/>
      <x:c r="C59" s="3" t="str">
        <x:v>Wartość netto na początek</x:v>
      </x:c>
      <x:c r="D59" s="38" t="n">
        <x:f>'Założenia'!$D$206</x:f>
        <x:v>3000</x:v>
      </x:c>
      <x:c r="E59" s="40" t="n">
        <x:f>D80</x:f>
        <x:v>3282.724216607143</x:v>
      </x:c>
      <x:c r="F59" s="40" t="n">
        <x:f>E80</x:f>
        <x:v>4467.440912266002</x:v>
      </x:c>
      <x:c r="G59" s="40" t="n">
        <x:f>F80</x:f>
        <x:v>5796.038059617305</x:v>
      </x:c>
      <x:c r="H59" s="40" t="n">
        <x:f>G80</x:f>
        <x:v>7296.218385495495</x:v>
      </x:c>
      <x:c r="I59" s="40" t="n">
        <x:f>H80</x:f>
        <x:v>9001.021306562836</x:v>
      </x:c>
      <x:c r="J59" s="40" t="n">
        <x:f>I80</x:f>
        <x:v>10704.229478056583</x:v>
      </x:c>
      <x:c r="K59" s="40" t="n">
        <x:f>J80</x:f>
        <x:v>12383.861094782953</x:v>
      </x:c>
      <x:c r="L59" s="40" t="n">
        <x:f>K80</x:f>
        <x:v>14145.48028210615</x:v>
      </x:c>
      <x:c r="M59" s="40" t="n">
        <x:f>L80</x:f>
        <x:v>16201.707046095857</x:v>
      </x:c>
      <x:c r="N59" s="40" t="n">
        <x:f>M80</x:f>
        <x:v>18229.35802943909</x:v>
      </x:c>
      <x:c r="O59" s="40" t="n">
        <x:f>N80</x:f>
        <x:v>19920.98015040864</x:v>
      </x:c>
      <x:c r="P59" s="40" t="n">
        <x:f>O80</x:f>
        <x:v>21361.44545374379</x:v>
      </x:c>
      <x:c r="Q59" s="40" t="n">
        <x:f>P80</x:f>
        <x:v>22610.868971577213</x:v>
      </x:c>
      <x:c r="R59" s="40" t="n">
        <x:f>Q80</x:f>
        <x:v>23696.637068713346</x:v>
      </x:c>
      <x:c r="S59" s="40" t="n">
        <x:f>R80</x:f>
        <x:v>24652.95314664304</x:v>
      </x:c>
    </x:row>
    <x:row r="60" ht="20" customHeight="1">
      <x:c r="A60" s="3"/>
      <x:c r="B60" s="3"/>
      <x:c r="C60" s="3" t="str">
        <x:v>Aktywa oddane do użycia</x:v>
      </x:c>
      <x:c r="D60" s="38" t="n">
        <x:f>'Operacje'!D26*(1-'Założenia'!$D$185)</x:f>
        <x:v>394.8021</x:v>
      </x:c>
      <x:c r="E60" s="38" t="n">
        <x:f>'Operacje'!E26*(1-'Założenia'!$D$185)</x:f>
        <x:v>1739.7561412950388</x:v>
      </x:c>
      <x:c r="F60" s="38" t="n">
        <x:f>'Operacje'!F26*(1-'Założenia'!$D$185)</x:f>
        <x:v>2074.3414737391954</x:v>
      </x:c>
      <x:c r="G60" s="38" t="n">
        <x:f>'Operacje'!G26*(1-'Założenia'!$D$185)</x:f>
        <x:v>2473.3070799505695</x:v>
      </x:c>
      <x:c r="H60" s="38" t="n">
        <x:f>'Operacje'!H26*(1-'Założenia'!$D$185)</x:f>
        <x:v>2949.0473990918413</x:v>
      </x:c>
      <x:c r="I60" s="38" t="n">
        <x:f>'Operacje'!I26*(1-'Założenia'!$D$185)</x:f>
        <x:v>3257.7947573398333</x:v>
      </x:c>
      <x:c r="J60" s="38" t="n">
        <x:f>'Operacje'!J26*(1-'Założenia'!$D$185)</x:f>
        <x:v>3575.9030951994173</x:v>
      </x:c>
      <x:c r="K60" s="38" t="n">
        <x:f>'Operacje'!K26*(1-'Założenia'!$D$185)</x:f>
        <x:v>3925.8346983298497</x:v>
      </x:c>
      <x:c r="L60" s="38" t="n">
        <x:f>'Operacje'!L26*(1-'Założenia'!$D$185)</x:f>
        <x:v>4310.847829983454</x:v>
      </x:c>
      <x:c r="M60" s="38" t="n">
        <x:f>'Operacje'!M26*(1-'Założenia'!$D$185)</x:f>
        <x:v>4734.541516669633</x:v>
      </x:c>
      <x:c r="N60" s="38" t="n">
        <x:f>'Operacje'!N26*(1-'Założenia'!$D$185)</x:f>
        <x:v>4874.004951452036</x:v>
      </x:c>
      <x:c r="O60" s="38" t="n">
        <x:f>'Operacje'!O26*(1-'Założenia'!$D$185)</x:f>
        <x:v>4994.753042711036</x:v>
      </x:c>
      <x:c r="P60" s="38" t="n">
        <x:f>'Operacje'!P26*(1-'Założenia'!$D$185)</x:f>
        <x:v>5118.677924834894</x:v>
      </x:c>
      <x:c r="Q60" s="38" t="n">
        <x:f>'Operacje'!Q26*(1-'Założenia'!$D$185)</x:f>
        <x:v>5245.867339678802</x:v>
      </x:c>
      <x:c r="R60" s="38" t="n">
        <x:f>'Operacje'!R26*(1-'Założenia'!$D$185)</x:f>
        <x:v>5376.411540530721</x:v>
      </x:c>
      <x:c r="S60" s="38" t="n">
        <x:f>'Operacje'!S26*(1-'Założenia'!$D$185)</x:f>
        <x:v>5510.403365769734</x:v>
      </x:c>
    </x:row>
    <x:row r="61" ht="20" customHeight="1">
      <x:c r="A61" s="3"/>
      <x:c r="B61" s="3"/>
      <x:c r="C61" s="3" t="str">
        <x:v>Żywotność nowych aktywów (lata)</x:v>
      </x:c>
      <x:c r="D61" s="38" t="n">
        <x:f>'Założenia'!$D$197</x:f>
        <x:v>10</x:v>
      </x:c>
      <x:c r="E61" s="38" t="n">
        <x:f>'Założenia'!$D$197</x:f>
        <x:v>10</x:v>
      </x:c>
      <x:c r="F61" s="38" t="n">
        <x:f>'Założenia'!$D$197</x:f>
        <x:v>10</x:v>
      </x:c>
      <x:c r="G61" s="38" t="n">
        <x:f>'Założenia'!$D$197</x:f>
        <x:v>10</x:v>
      </x:c>
      <x:c r="H61" s="38" t="n">
        <x:f>'Założenia'!$D$197</x:f>
        <x:v>10</x:v>
      </x:c>
      <x:c r="I61" s="38" t="n">
        <x:f>'Założenia'!$D$197</x:f>
        <x:v>10</x:v>
      </x:c>
      <x:c r="J61" s="38" t="n">
        <x:f>'Założenia'!$D$197</x:f>
        <x:v>10</x:v>
      </x:c>
      <x:c r="K61" s="38" t="n">
        <x:f>'Założenia'!$D$197</x:f>
        <x:v>10</x:v>
      </x:c>
      <x:c r="L61" s="38" t="n">
        <x:f>'Założenia'!$D$197</x:f>
        <x:v>10</x:v>
      </x:c>
      <x:c r="M61" s="38" t="n">
        <x:f>'Założenia'!$D$197</x:f>
        <x:v>10</x:v>
      </x:c>
      <x:c r="N61" s="38" t="n">
        <x:f>'Założenia'!$D$197</x:f>
        <x:v>10</x:v>
      </x:c>
      <x:c r="O61" s="38" t="n">
        <x:f>'Założenia'!$D$197</x:f>
        <x:v>10</x:v>
      </x:c>
      <x:c r="P61" s="38" t="n">
        <x:f>'Założenia'!$D$197</x:f>
        <x:v>10</x:v>
      </x:c>
      <x:c r="Q61" s="38" t="n">
        <x:f>'Założenia'!$D$197</x:f>
        <x:v>10</x:v>
      </x:c>
      <x:c r="R61" s="38" t="n">
        <x:f>'Założenia'!$D$197</x:f>
        <x:v>10</x:v>
      </x:c>
      <x:c r="S61" s="38" t="n">
        <x:f>'Założenia'!$D$197</x:f>
        <x:v>10</x:v>
      </x:c>
    </x:row>
    <x:row r="62" ht="20" customHeight="1">
      <x:c r="A62" s="3"/>
      <x:c r="B62" s="3"/>
      <x:c r="C62" s="3" t="str">
        <x:v>D&amp;A aktywów początkowych</x:v>
      </x:c>
      <x:c r="D62" s="38" t="n">
        <x:f>'Założenia'!$D$206/'Założenia'!$E$206*MAX(0,MIN(D$6,'Założenia'!$E$206)-MAX(D$3,0))</x:f>
        <x:v>107.14285714285714</x:v>
      </x:c>
      <x:c r="E62" s="38" t="n">
        <x:f>'Założenia'!$D$206/'Założenia'!$E$206*MAX(0,MIN(E$6,'Założenia'!$E$206)-MAX(E$3,0))</x:f>
        <x:v>428.57142857142856</x:v>
      </x:c>
      <x:c r="F62" s="38" t="n">
        <x:f>'Założenia'!$D$206/'Założenia'!$E$206*MAX(0,MIN(F$6,'Założenia'!$E$206)-MAX(F$3,0))</x:f>
        <x:v>428.57142857142856</x:v>
      </x:c>
      <x:c r="G62" s="38" t="n">
        <x:f>'Założenia'!$D$206/'Założenia'!$E$206*MAX(0,MIN(G$6,'Założenia'!$E$206)-MAX(G$3,0))</x:f>
        <x:v>428.57142857142856</x:v>
      </x:c>
      <x:c r="H62" s="38" t="n">
        <x:f>'Założenia'!$D$206/'Założenia'!$E$206*MAX(0,MIN(H$6,'Założenia'!$E$206)-MAX(H$3,0))</x:f>
        <x:v>428.57142857142856</x:v>
      </x:c>
      <x:c r="I62" s="38" t="n">
        <x:f>'Założenia'!$D$206/'Założenia'!$E$206*MAX(0,MIN(I$6,'Założenia'!$E$206)-MAX(I$3,0))</x:f>
        <x:v>428.57142857142856</x:v>
      </x:c>
      <x:c r="J62" s="38" t="n">
        <x:f>'Założenia'!$D$206/'Założenia'!$E$206*MAX(0,MIN(J$6,'Założenia'!$E$206)-MAX(J$3,0))</x:f>
        <x:v>428.57142857142856</x:v>
      </x:c>
      <x:c r="K62" s="38" t="n">
        <x:f>'Założenia'!$D$206/'Założenia'!$E$206*MAX(0,MIN(K$6,'Założenia'!$E$206)-MAX(K$3,0))</x:f>
        <x:v>321.42857142857144</x:v>
      </x:c>
      <x:c r="L62" s="38" t="n">
        <x:f>'Założenia'!$D$206/'Założenia'!$E$206*MAX(0,MIN(L$6,'Założenia'!$E$206)-MAX(L$3,0))</x:f>
        <x:v>0</x:v>
      </x:c>
      <x:c r="M62" s="38" t="n">
        <x:f>'Założenia'!$D$206/'Założenia'!$E$206*MAX(0,MIN(M$6,'Założenia'!$E$206)-MAX(M$3,0))</x:f>
        <x:v>0</x:v>
      </x:c>
      <x:c r="N62" s="38" t="n">
        <x:f>'Założenia'!$D$206/'Założenia'!$E$206*MAX(0,MIN(N$6,'Założenia'!$E$206)-MAX(N$3,0))</x:f>
        <x:v>0</x:v>
      </x:c>
      <x:c r="O62" s="38" t="n">
        <x:f>'Założenia'!$D$206/'Założenia'!$E$206*MAX(0,MIN(O$6,'Założenia'!$E$206)-MAX(O$3,0))</x:f>
        <x:v>0</x:v>
      </x:c>
      <x:c r="P62" s="38" t="n">
        <x:f>'Założenia'!$D$206/'Założenia'!$E$206*MAX(0,MIN(P$6,'Założenia'!$E$206)-MAX(P$3,0))</x:f>
        <x:v>0</x:v>
      </x:c>
      <x:c r="Q62" s="38" t="n">
        <x:f>'Założenia'!$D$206/'Założenia'!$E$206*MAX(0,MIN(Q$6,'Założenia'!$E$206)-MAX(Q$3,0))</x:f>
        <x:v>0</x:v>
      </x:c>
      <x:c r="R62" s="38" t="n">
        <x:f>'Założenia'!$D$206/'Założenia'!$E$206*MAX(0,MIN(R$6,'Założenia'!$E$206)-MAX(R$3,0))</x:f>
        <x:v>0</x:v>
      </x:c>
      <x:c r="S62" s="38" t="n">
        <x:f>'Założenia'!$D$206/'Założenia'!$E$206*MAX(0,MIN(S$6,'Założenia'!$E$206)-MAX(S$3,0))</x:f>
        <x:v>0</x:v>
      </x:c>
    </x:row>
    <x:row r="63" ht="20" customHeight="1">
      <x:c r="A63" s="3"/>
      <x:c r="B63" s="3"/>
      <x:c r="C63" s="3" t="str">
        <x:v>D&amp;A nakładów Q4:26E</x:v>
      </x:c>
      <x:c r="D63" s="40" t="n">
        <x:f>D60/D61*MAX(0,MIN(D$6,(D$3+D$6)/2+D61)-MAX(D$3,(D$3+D$6)/2))</x:f>
        <x:v>4.93502625</x:v>
      </x:c>
      <x:c r="E63" s="40" t="n">
        <x:f>D60/D61*MAX(0,MIN(E$6,(D$3+D$6)/2+D61)-MAX(E$3,(D$3+D$6)/2))</x:f>
        <x:v>39.48021</x:v>
      </x:c>
      <x:c r="F63" s="40" t="n">
        <x:f>D60/D61*MAX(0,MIN(F$6,(D$3+D$6)/2+D61)-MAX(F$3,(D$3+D$6)/2))</x:f>
        <x:v>39.48021</x:v>
      </x:c>
      <x:c r="G63" s="40" t="n">
        <x:f>D60/D61*MAX(0,MIN(G$6,(D$3+D$6)/2+D61)-MAX(G$3,(D$3+D$6)/2))</x:f>
        <x:v>39.48021</x:v>
      </x:c>
      <x:c r="H63" s="40" t="n">
        <x:f>D60/D61*MAX(0,MIN(H$6,(D$3+D$6)/2+D61)-MAX(H$3,(D$3+D$6)/2))</x:f>
        <x:v>39.48021</x:v>
      </x:c>
      <x:c r="I63" s="40" t="n">
        <x:f>D60/D61*MAX(0,MIN(I$6,(D$3+D$6)/2+D61)-MAX(I$3,(D$3+D$6)/2))</x:f>
        <x:v>39.48021</x:v>
      </x:c>
      <x:c r="J63" s="40" t="n">
        <x:f>D60/D61*MAX(0,MIN(J$6,(D$3+D$6)/2+D61)-MAX(J$3,(D$3+D$6)/2))</x:f>
        <x:v>39.48021</x:v>
      </x:c>
      <x:c r="K63" s="40" t="n">
        <x:f>D60/D61*MAX(0,MIN(K$6,(D$3+D$6)/2+D61)-MAX(K$3,(D$3+D$6)/2))</x:f>
        <x:v>39.48021</x:v>
      </x:c>
      <x:c r="L63" s="40" t="n">
        <x:f>D60/D61*MAX(0,MIN(L$6,(D$3+D$6)/2+D61)-MAX(L$3,(D$3+D$6)/2))</x:f>
        <x:v>39.48021</x:v>
      </x:c>
      <x:c r="M63" s="40" t="n">
        <x:f>D60/D61*MAX(0,MIN(M$6,(D$3+D$6)/2+D61)-MAX(M$3,(D$3+D$6)/2))</x:f>
        <x:v>39.48021</x:v>
      </x:c>
      <x:c r="N63" s="40" t="n">
        <x:f>D60/D61*MAX(0,MIN(N$6,(D$3+D$6)/2+D61)-MAX(N$3,(D$3+D$6)/2))</x:f>
        <x:v>34.54518375</x:v>
      </x:c>
      <x:c r="O63" s="40" t="n">
        <x:f>D60/D61*MAX(0,MIN(O$6,(D$3+D$6)/2+D61)-MAX(O$3,(D$3+D$6)/2))</x:f>
        <x:v>0</x:v>
      </x:c>
      <x:c r="P63" s="40" t="n">
        <x:f>D60/D61*MAX(0,MIN(P$6,(D$3+D$6)/2+D61)-MAX(P$3,(D$3+D$6)/2))</x:f>
        <x:v>0</x:v>
      </x:c>
      <x:c r="Q63" s="40" t="n">
        <x:f>D60/D61*MAX(0,MIN(Q$6,(D$3+D$6)/2+D61)-MAX(Q$3,(D$3+D$6)/2))</x:f>
        <x:v>0</x:v>
      </x:c>
      <x:c r="R63" s="40" t="n">
        <x:f>D60/D61*MAX(0,MIN(R$6,(D$3+D$6)/2+D61)-MAX(R$3,(D$3+D$6)/2))</x:f>
        <x:v>0</x:v>
      </x:c>
      <x:c r="S63" s="40" t="n">
        <x:f>D60/D61*MAX(0,MIN(S$6,(D$3+D$6)/2+D61)-MAX(S$3,(D$3+D$6)/2))</x:f>
        <x:v>0</x:v>
      </x:c>
    </x:row>
    <x:row r="64" ht="20" customHeight="1">
      <x:c r="A64" s="3"/>
      <x:c r="B64" s="3"/>
      <x:c r="C64" s="3" t="str">
        <x:v>D&amp;A nakładów 2027E</x:v>
      </x:c>
      <x:c r="D64" s="40" t="n">
        <x:f>0</x:f>
        <x:v>0</x:v>
      </x:c>
      <x:c r="E64" s="40" t="n">
        <x:f>E60/E61*MAX(0,MIN(E$6,(E$3+E$6)/2+E61)-MAX(E$3,(E$3+E$6)/2))</x:f>
        <x:v>86.98780706475193</x:v>
      </x:c>
      <x:c r="F64" s="40" t="n">
        <x:f>E60/E61*MAX(0,MIN(F$6,(E$3+E$6)/2+E61)-MAX(F$3,(E$3+E$6)/2))</x:f>
        <x:v>173.97561412950387</x:v>
      </x:c>
      <x:c r="G64" s="40" t="n">
        <x:f>E60/E61*MAX(0,MIN(G$6,(E$3+E$6)/2+E61)-MAX(G$3,(E$3+E$6)/2))</x:f>
        <x:v>173.97561412950387</x:v>
      </x:c>
      <x:c r="H64" s="40" t="n">
        <x:f>E60/E61*MAX(0,MIN(H$6,(E$3+E$6)/2+E61)-MAX(H$3,(E$3+E$6)/2))</x:f>
        <x:v>173.97561412950387</x:v>
      </x:c>
      <x:c r="I64" s="40" t="n">
        <x:f>E60/E61*MAX(0,MIN(I$6,(E$3+E$6)/2+E61)-MAX(I$3,(E$3+E$6)/2))</x:f>
        <x:v>173.97561412950387</x:v>
      </x:c>
      <x:c r="J64" s="40" t="n">
        <x:f>E60/E61*MAX(0,MIN(J$6,(E$3+E$6)/2+E61)-MAX(J$3,(E$3+E$6)/2))</x:f>
        <x:v>173.97561412950387</x:v>
      </x:c>
      <x:c r="K64" s="40" t="n">
        <x:f>E60/E61*MAX(0,MIN(K$6,(E$3+E$6)/2+E61)-MAX(K$3,(E$3+E$6)/2))</x:f>
        <x:v>173.97561412950387</x:v>
      </x:c>
      <x:c r="L64" s="40" t="n">
        <x:f>E60/E61*MAX(0,MIN(L$6,(E$3+E$6)/2+E61)-MAX(L$3,(E$3+E$6)/2))</x:f>
        <x:v>173.97561412950387</x:v>
      </x:c>
      <x:c r="M64" s="40" t="n">
        <x:f>E60/E61*MAX(0,MIN(M$6,(E$3+E$6)/2+E61)-MAX(M$3,(E$3+E$6)/2))</x:f>
        <x:v>173.97561412950387</x:v>
      </x:c>
      <x:c r="N64" s="40" t="n">
        <x:f>E60/E61*MAX(0,MIN(N$6,(E$3+E$6)/2+E61)-MAX(N$3,(E$3+E$6)/2))</x:f>
        <x:v>173.97561412950387</x:v>
      </x:c>
      <x:c r="O64" s="40" t="n">
        <x:f>E60/E61*MAX(0,MIN(O$6,(E$3+E$6)/2+E61)-MAX(O$3,(E$3+E$6)/2))</x:f>
        <x:v>86.98780706475193</x:v>
      </x:c>
      <x:c r="P64" s="40" t="n">
        <x:f>E60/E61*MAX(0,MIN(P$6,(E$3+E$6)/2+E61)-MAX(P$3,(E$3+E$6)/2))</x:f>
        <x:v>0</x:v>
      </x:c>
      <x:c r="Q64" s="40" t="n">
        <x:f>E60/E61*MAX(0,MIN(Q$6,(E$3+E$6)/2+E61)-MAX(Q$3,(E$3+E$6)/2))</x:f>
        <x:v>0</x:v>
      </x:c>
      <x:c r="R64" s="40" t="n">
        <x:f>E60/E61*MAX(0,MIN(R$6,(E$3+E$6)/2+E61)-MAX(R$3,(E$3+E$6)/2))</x:f>
        <x:v>0</x:v>
      </x:c>
      <x:c r="S64" s="40" t="n">
        <x:f>E60/E61*MAX(0,MIN(S$6,(E$3+E$6)/2+E61)-MAX(S$3,(E$3+E$6)/2))</x:f>
        <x:v>0</x:v>
      </x:c>
    </x:row>
    <x:row r="65" ht="20" customHeight="1">
      <x:c r="A65" s="3"/>
      <x:c r="B65" s="3"/>
      <x:c r="C65" s="3" t="str">
        <x:v>D&amp;A nakładów 2028E</x:v>
      </x:c>
      <x:c r="D65" s="40" t="n">
        <x:f>0</x:f>
        <x:v>0</x:v>
      </x:c>
      <x:c r="E65" s="40" t="n">
        <x:f>0</x:f>
        <x:v>0</x:v>
      </x:c>
      <x:c r="F65" s="40" t="n">
        <x:f>F60/F61*MAX(0,MIN(F$6,(F$3+F$6)/2+F61)-MAX(F$3,(F$3+F$6)/2))</x:f>
        <x:v>103.71707368695976</x:v>
      </x:c>
      <x:c r="G65" s="40" t="n">
        <x:f>F60/F61*MAX(0,MIN(G$6,(F$3+F$6)/2+F61)-MAX(G$3,(F$3+F$6)/2))</x:f>
        <x:v>207.43414737391953</x:v>
      </x:c>
      <x:c r="H65" s="40" t="n">
        <x:f>F60/F61*MAX(0,MIN(H$6,(F$3+F$6)/2+F61)-MAX(H$3,(F$3+F$6)/2))</x:f>
        <x:v>207.43414737391953</x:v>
      </x:c>
      <x:c r="I65" s="40" t="n">
        <x:f>F60/F61*MAX(0,MIN(I$6,(F$3+F$6)/2+F61)-MAX(I$3,(F$3+F$6)/2))</x:f>
        <x:v>207.43414737391953</x:v>
      </x:c>
      <x:c r="J65" s="40" t="n">
        <x:f>F60/F61*MAX(0,MIN(J$6,(F$3+F$6)/2+F61)-MAX(J$3,(F$3+F$6)/2))</x:f>
        <x:v>207.43414737391953</x:v>
      </x:c>
      <x:c r="K65" s="40" t="n">
        <x:f>F60/F61*MAX(0,MIN(K$6,(F$3+F$6)/2+F61)-MAX(K$3,(F$3+F$6)/2))</x:f>
        <x:v>207.43414737391953</x:v>
      </x:c>
      <x:c r="L65" s="40" t="n">
        <x:f>F60/F61*MAX(0,MIN(L$6,(F$3+F$6)/2+F61)-MAX(L$3,(F$3+F$6)/2))</x:f>
        <x:v>207.43414737391953</x:v>
      </x:c>
      <x:c r="M65" s="40" t="n">
        <x:f>F60/F61*MAX(0,MIN(M$6,(F$3+F$6)/2+F61)-MAX(M$3,(F$3+F$6)/2))</x:f>
        <x:v>207.43414737391953</x:v>
      </x:c>
      <x:c r="N65" s="40" t="n">
        <x:f>F60/F61*MAX(0,MIN(N$6,(F$3+F$6)/2+F61)-MAX(N$3,(F$3+F$6)/2))</x:f>
        <x:v>207.43414737391953</x:v>
      </x:c>
      <x:c r="O65" s="40" t="n">
        <x:f>F60/F61*MAX(0,MIN(O$6,(F$3+F$6)/2+F61)-MAX(O$3,(F$3+F$6)/2))</x:f>
        <x:v>207.43414737391953</x:v>
      </x:c>
      <x:c r="P65" s="40" t="n">
        <x:f>F60/F61*MAX(0,MIN(P$6,(F$3+F$6)/2+F61)-MAX(P$3,(F$3+F$6)/2))</x:f>
        <x:v>103.71707368695976</x:v>
      </x:c>
      <x:c r="Q65" s="40" t="n">
        <x:f>F60/F61*MAX(0,MIN(Q$6,(F$3+F$6)/2+F61)-MAX(Q$3,(F$3+F$6)/2))</x:f>
        <x:v>0</x:v>
      </x:c>
      <x:c r="R65" s="40" t="n">
        <x:f>F60/F61*MAX(0,MIN(R$6,(F$3+F$6)/2+F61)-MAX(R$3,(F$3+F$6)/2))</x:f>
        <x:v>0</x:v>
      </x:c>
      <x:c r="S65" s="40" t="n">
        <x:f>F60/F61*MAX(0,MIN(S$6,(F$3+F$6)/2+F61)-MAX(S$3,(F$3+F$6)/2))</x:f>
        <x:v>0</x:v>
      </x:c>
    </x:row>
    <x:row r="66" ht="20" customHeight="1">
      <x:c r="A66" s="3"/>
      <x:c r="B66" s="3"/>
      <x:c r="C66" s="3" t="str">
        <x:v>D&amp;A nakładów 2029E</x:v>
      </x:c>
      <x:c r="D66" s="40" t="n">
        <x:f>0</x:f>
        <x:v>0</x:v>
      </x:c>
      <x:c r="E66" s="40" t="n">
        <x:f>0</x:f>
        <x:v>0</x:v>
      </x:c>
      <x:c r="F66" s="40" t="n">
        <x:f>0</x:f>
        <x:v>0</x:v>
      </x:c>
      <x:c r="G66" s="40" t="n">
        <x:f>G60/G61*MAX(0,MIN(G$6,(G$3+G$6)/2+G61)-MAX(G$3,(G$3+G$6)/2))</x:f>
        <x:v>123.66535399752847</x:v>
      </x:c>
      <x:c r="H66" s="40" t="n">
        <x:f>G60/G61*MAX(0,MIN(H$6,(G$3+G$6)/2+G61)-MAX(H$3,(G$3+G$6)/2))</x:f>
        <x:v>247.33070799505694</x:v>
      </x:c>
      <x:c r="I66" s="40" t="n">
        <x:f>G60/G61*MAX(0,MIN(I$6,(G$3+G$6)/2+G61)-MAX(I$3,(G$3+G$6)/2))</x:f>
        <x:v>247.33070799505694</x:v>
      </x:c>
      <x:c r="J66" s="40" t="n">
        <x:f>G60/G61*MAX(0,MIN(J$6,(G$3+G$6)/2+G61)-MAX(J$3,(G$3+G$6)/2))</x:f>
        <x:v>247.33070799505694</x:v>
      </x:c>
      <x:c r="K66" s="40" t="n">
        <x:f>G60/G61*MAX(0,MIN(K$6,(G$3+G$6)/2+G61)-MAX(K$3,(G$3+G$6)/2))</x:f>
        <x:v>247.33070799505694</x:v>
      </x:c>
      <x:c r="L66" s="40" t="n">
        <x:f>G60/G61*MAX(0,MIN(L$6,(G$3+G$6)/2+G61)-MAX(L$3,(G$3+G$6)/2))</x:f>
        <x:v>247.33070799505694</x:v>
      </x:c>
      <x:c r="M66" s="40" t="n">
        <x:f>G60/G61*MAX(0,MIN(M$6,(G$3+G$6)/2+G61)-MAX(M$3,(G$3+G$6)/2))</x:f>
        <x:v>247.33070799505694</x:v>
      </x:c>
      <x:c r="N66" s="40" t="n">
        <x:f>G60/G61*MAX(0,MIN(N$6,(G$3+G$6)/2+G61)-MAX(N$3,(G$3+G$6)/2))</x:f>
        <x:v>247.33070799505694</x:v>
      </x:c>
      <x:c r="O66" s="40" t="n">
        <x:f>G60/G61*MAX(0,MIN(O$6,(G$3+G$6)/2+G61)-MAX(O$3,(G$3+G$6)/2))</x:f>
        <x:v>247.33070799505694</x:v>
      </x:c>
      <x:c r="P66" s="40" t="n">
        <x:f>G60/G61*MAX(0,MIN(P$6,(G$3+G$6)/2+G61)-MAX(P$3,(G$3+G$6)/2))</x:f>
        <x:v>247.33070799505694</x:v>
      </x:c>
      <x:c r="Q66" s="40" t="n">
        <x:f>G60/G61*MAX(0,MIN(Q$6,(G$3+G$6)/2+G61)-MAX(Q$3,(G$3+G$6)/2))</x:f>
        <x:v>123.66535399752847</x:v>
      </x:c>
      <x:c r="R66" s="40" t="n">
        <x:f>G60/G61*MAX(0,MIN(R$6,(G$3+G$6)/2+G61)-MAX(R$3,(G$3+G$6)/2))</x:f>
        <x:v>0</x:v>
      </x:c>
      <x:c r="S66" s="40" t="n">
        <x:f>G60/G61*MAX(0,MIN(S$6,(G$3+G$6)/2+G61)-MAX(S$3,(G$3+G$6)/2))</x:f>
        <x:v>0</x:v>
      </x:c>
    </x:row>
    <x:row r="67" ht="20" customHeight="1">
      <x:c r="A67" s="3"/>
      <x:c r="B67" s="3"/>
      <x:c r="C67" s="3" t="str">
        <x:v>D&amp;A nakładów 2030E</x:v>
      </x:c>
      <x:c r="D67" s="40" t="n">
        <x:f>0</x:f>
        <x:v>0</x:v>
      </x:c>
      <x:c r="E67" s="40" t="n">
        <x:f>0</x:f>
        <x:v>0</x:v>
      </x:c>
      <x:c r="F67" s="40" t="n">
        <x:f>0</x:f>
        <x:v>0</x:v>
      </x:c>
      <x:c r="G67" s="40" t="n">
        <x:f>0</x:f>
        <x:v>0</x:v>
      </x:c>
      <x:c r="H67" s="40" t="n">
        <x:f>H60/H61*MAX(0,MIN(H$6,(H$3+H$6)/2+H61)-MAX(H$3,(H$3+H$6)/2))</x:f>
        <x:v>147.45236995459206</x:v>
      </x:c>
      <x:c r="I67" s="40" t="n">
        <x:f>H60/H61*MAX(0,MIN(I$6,(H$3+H$6)/2+H61)-MAX(I$3,(H$3+H$6)/2))</x:f>
        <x:v>294.9047399091841</x:v>
      </x:c>
      <x:c r="J67" s="40" t="n">
        <x:f>H60/H61*MAX(0,MIN(J$6,(H$3+H$6)/2+H61)-MAX(J$3,(H$3+H$6)/2))</x:f>
        <x:v>294.9047399091841</x:v>
      </x:c>
      <x:c r="K67" s="40" t="n">
        <x:f>H60/H61*MAX(0,MIN(K$6,(H$3+H$6)/2+H61)-MAX(K$3,(H$3+H$6)/2))</x:f>
        <x:v>294.9047399091841</x:v>
      </x:c>
      <x:c r="L67" s="40" t="n">
        <x:f>H60/H61*MAX(0,MIN(L$6,(H$3+H$6)/2+H61)-MAX(L$3,(H$3+H$6)/2))</x:f>
        <x:v>294.9047399091841</x:v>
      </x:c>
      <x:c r="M67" s="40" t="n">
        <x:f>H60/H61*MAX(0,MIN(M$6,(H$3+H$6)/2+H61)-MAX(M$3,(H$3+H$6)/2))</x:f>
        <x:v>294.9047399091841</x:v>
      </x:c>
      <x:c r="N67" s="40" t="n">
        <x:f>H60/H61*MAX(0,MIN(N$6,(H$3+H$6)/2+H61)-MAX(N$3,(H$3+H$6)/2))</x:f>
        <x:v>294.9047399091841</x:v>
      </x:c>
      <x:c r="O67" s="40" t="n">
        <x:f>H60/H61*MAX(0,MIN(O$6,(H$3+H$6)/2+H61)-MAX(O$3,(H$3+H$6)/2))</x:f>
        <x:v>294.9047399091841</x:v>
      </x:c>
      <x:c r="P67" s="40" t="n">
        <x:f>H60/H61*MAX(0,MIN(P$6,(H$3+H$6)/2+H61)-MAX(P$3,(H$3+H$6)/2))</x:f>
        <x:v>294.9047399091841</x:v>
      </x:c>
      <x:c r="Q67" s="40" t="n">
        <x:f>H60/H61*MAX(0,MIN(Q$6,(H$3+H$6)/2+H61)-MAX(Q$3,(H$3+H$6)/2))</x:f>
        <x:v>294.9047399091841</x:v>
      </x:c>
      <x:c r="R67" s="40" t="n">
        <x:f>H60/H61*MAX(0,MIN(R$6,(H$3+H$6)/2+H61)-MAX(R$3,(H$3+H$6)/2))</x:f>
        <x:v>147.45236995459206</x:v>
      </x:c>
      <x:c r="S67" s="40" t="n">
        <x:f>H60/H61*MAX(0,MIN(S$6,(H$3+H$6)/2+H61)-MAX(S$3,(H$3+H$6)/2))</x:f>
        <x:v>0</x:v>
      </x:c>
    </x:row>
    <x:row r="68" ht="20" customHeight="1">
      <x:c r="A68" s="3"/>
      <x:c r="B68" s="3"/>
      <x:c r="C68" s="3" t="str">
        <x:v>D&amp;A nakładów 2031E</x:v>
      </x:c>
      <x:c r="D68" s="40" t="n">
        <x:f>0</x:f>
        <x:v>0</x:v>
      </x:c>
      <x:c r="E68" s="40" t="n">
        <x:f>0</x:f>
        <x:v>0</x:v>
      </x:c>
      <x:c r="F68" s="40" t="n">
        <x:f>0</x:f>
        <x:v>0</x:v>
      </x:c>
      <x:c r="G68" s="40" t="n">
        <x:f>0</x:f>
        <x:v>0</x:v>
      </x:c>
      <x:c r="H68" s="40" t="n">
        <x:f>0</x:f>
        <x:v>0</x:v>
      </x:c>
      <x:c r="I68" s="40" t="n">
        <x:f>I60/I61*MAX(0,MIN(I$6,(I$3+I$6)/2+I61)-MAX(I$3,(I$3+I$6)/2))</x:f>
        <x:v>162.88973786699165</x:v>
      </x:c>
      <x:c r="J68" s="40" t="n">
        <x:f>I60/I61*MAX(0,MIN(J$6,(I$3+I$6)/2+I61)-MAX(J$3,(I$3+I$6)/2))</x:f>
        <x:v>325.7794757339833</x:v>
      </x:c>
      <x:c r="K68" s="40" t="n">
        <x:f>I60/I61*MAX(0,MIN(K$6,(I$3+I$6)/2+I61)-MAX(K$3,(I$3+I$6)/2))</x:f>
        <x:v>325.7794757339833</x:v>
      </x:c>
      <x:c r="L68" s="40" t="n">
        <x:f>I60/I61*MAX(0,MIN(L$6,(I$3+I$6)/2+I61)-MAX(L$3,(I$3+I$6)/2))</x:f>
        <x:v>325.7794757339833</x:v>
      </x:c>
      <x:c r="M68" s="40" t="n">
        <x:f>I60/I61*MAX(0,MIN(M$6,(I$3+I$6)/2+I61)-MAX(M$3,(I$3+I$6)/2))</x:f>
        <x:v>325.7794757339833</x:v>
      </x:c>
      <x:c r="N68" s="40" t="n">
        <x:f>I60/I61*MAX(0,MIN(N$6,(I$3+I$6)/2+I61)-MAX(N$3,(I$3+I$6)/2))</x:f>
        <x:v>325.7794757339833</x:v>
      </x:c>
      <x:c r="O68" s="40" t="n">
        <x:f>I60/I61*MAX(0,MIN(O$6,(I$3+I$6)/2+I61)-MAX(O$3,(I$3+I$6)/2))</x:f>
        <x:v>325.7794757339833</x:v>
      </x:c>
      <x:c r="P68" s="40" t="n">
        <x:f>I60/I61*MAX(0,MIN(P$6,(I$3+I$6)/2+I61)-MAX(P$3,(I$3+I$6)/2))</x:f>
        <x:v>325.7794757339833</x:v>
      </x:c>
      <x:c r="Q68" s="40" t="n">
        <x:f>I60/I61*MAX(0,MIN(Q$6,(I$3+I$6)/2+I61)-MAX(Q$3,(I$3+I$6)/2))</x:f>
        <x:v>325.7794757339833</x:v>
      </x:c>
      <x:c r="R68" s="40" t="n">
        <x:f>I60/I61*MAX(0,MIN(R$6,(I$3+I$6)/2+I61)-MAX(R$3,(I$3+I$6)/2))</x:f>
        <x:v>325.7794757339833</x:v>
      </x:c>
      <x:c r="S68" s="40" t="n">
        <x:f>I60/I61*MAX(0,MIN(S$6,(I$3+I$6)/2+I61)-MAX(S$3,(I$3+I$6)/2))</x:f>
        <x:v>162.88973786699165</x:v>
      </x:c>
    </x:row>
    <x:row r="69" ht="20" customHeight="1">
      <x:c r="A69" s="3"/>
      <x:c r="B69" s="3"/>
      <x:c r="C69" s="3" t="str">
        <x:v>D&amp;A nakładów 2032E</x:v>
      </x:c>
      <x:c r="D69" s="40" t="n">
        <x:f>0</x:f>
        <x:v>0</x:v>
      </x:c>
      <x:c r="E69" s="40" t="n">
        <x:f>0</x:f>
        <x:v>0</x:v>
      </x:c>
      <x:c r="F69" s="40" t="n">
        <x:f>0</x:f>
        <x:v>0</x:v>
      </x:c>
      <x:c r="G69" s="40" t="n">
        <x:f>0</x:f>
        <x:v>0</x:v>
      </x:c>
      <x:c r="H69" s="40" t="n">
        <x:f>0</x:f>
        <x:v>0</x:v>
      </x:c>
      <x:c r="I69" s="40" t="n">
        <x:f>0</x:f>
        <x:v>0</x:v>
      </x:c>
      <x:c r="J69" s="40" t="n">
        <x:f>J60/J61*MAX(0,MIN(J$6,(J$3+J$6)/2+J61)-MAX(J$3,(J$3+J$6)/2))</x:f>
        <x:v>178.79515475997087</x:v>
      </x:c>
      <x:c r="K69" s="40" t="n">
        <x:f>J60/J61*MAX(0,MIN(K$6,(J$3+J$6)/2+J61)-MAX(K$3,(J$3+J$6)/2))</x:f>
        <x:v>357.59030951994174</x:v>
      </x:c>
      <x:c r="L69" s="40" t="n">
        <x:f>J60/J61*MAX(0,MIN(L$6,(J$3+J$6)/2+J61)-MAX(L$3,(J$3+J$6)/2))</x:f>
        <x:v>357.59030951994174</x:v>
      </x:c>
      <x:c r="M69" s="40" t="n">
        <x:f>J60/J61*MAX(0,MIN(M$6,(J$3+J$6)/2+J61)-MAX(M$3,(J$3+J$6)/2))</x:f>
        <x:v>357.59030951994174</x:v>
      </x:c>
      <x:c r="N69" s="40" t="n">
        <x:f>J60/J61*MAX(0,MIN(N$6,(J$3+J$6)/2+J61)-MAX(N$3,(J$3+J$6)/2))</x:f>
        <x:v>357.59030951994174</x:v>
      </x:c>
      <x:c r="O69" s="40" t="n">
        <x:f>J60/J61*MAX(0,MIN(O$6,(J$3+J$6)/2+J61)-MAX(O$3,(J$3+J$6)/2))</x:f>
        <x:v>357.59030951994174</x:v>
      </x:c>
      <x:c r="P69" s="40" t="n">
        <x:f>J60/J61*MAX(0,MIN(P$6,(J$3+J$6)/2+J61)-MAX(P$3,(J$3+J$6)/2))</x:f>
        <x:v>357.59030951994174</x:v>
      </x:c>
      <x:c r="Q69" s="40" t="n">
        <x:f>J60/J61*MAX(0,MIN(Q$6,(J$3+J$6)/2+J61)-MAX(Q$3,(J$3+J$6)/2))</x:f>
        <x:v>357.59030951994174</x:v>
      </x:c>
      <x:c r="R69" s="40" t="n">
        <x:f>J60/J61*MAX(0,MIN(R$6,(J$3+J$6)/2+J61)-MAX(R$3,(J$3+J$6)/2))</x:f>
        <x:v>357.59030951994174</x:v>
      </x:c>
      <x:c r="S69" s="40" t="n">
        <x:f>J60/J61*MAX(0,MIN(S$6,(J$3+J$6)/2+J61)-MAX(S$3,(J$3+J$6)/2))</x:f>
        <x:v>357.59030951994174</x:v>
      </x:c>
    </x:row>
    <x:row r="70" ht="20" customHeight="1">
      <x:c r="A70" s="3"/>
      <x:c r="B70" s="3"/>
      <x:c r="C70" s="3" t="str">
        <x:v>D&amp;A nakładów 2033E</x:v>
      </x:c>
      <x:c r="D70" s="40" t="n">
        <x:f>0</x:f>
        <x:v>0</x:v>
      </x:c>
      <x:c r="E70" s="40" t="n">
        <x:f>0</x:f>
        <x:v>0</x:v>
      </x:c>
      <x:c r="F70" s="40" t="n">
        <x:f>0</x:f>
        <x:v>0</x:v>
      </x:c>
      <x:c r="G70" s="40" t="n">
        <x:f>0</x:f>
        <x:v>0</x:v>
      </x:c>
      <x:c r="H70" s="40" t="n">
        <x:f>0</x:f>
        <x:v>0</x:v>
      </x:c>
      <x:c r="I70" s="40" t="n">
        <x:f>0</x:f>
        <x:v>0</x:v>
      </x:c>
      <x:c r="J70" s="40" t="n">
        <x:f>0</x:f>
        <x:v>0</x:v>
      </x:c>
      <x:c r="K70" s="40" t="n">
        <x:f>K60/K61*MAX(0,MIN(K$6,(K$3+K$6)/2+K61)-MAX(K$3,(K$3+K$6)/2))</x:f>
        <x:v>196.2917349164925</x:v>
      </x:c>
      <x:c r="L70" s="40" t="n">
        <x:f>K60/K61*MAX(0,MIN(L$6,(K$3+K$6)/2+K61)-MAX(L$3,(K$3+K$6)/2))</x:f>
        <x:v>392.583469832985</x:v>
      </x:c>
      <x:c r="M70" s="40" t="n">
        <x:f>K60/K61*MAX(0,MIN(M$6,(K$3+K$6)/2+K61)-MAX(M$3,(K$3+K$6)/2))</x:f>
        <x:v>392.583469832985</x:v>
      </x:c>
      <x:c r="N70" s="40" t="n">
        <x:f>K60/K61*MAX(0,MIN(N$6,(K$3+K$6)/2+K61)-MAX(N$3,(K$3+K$6)/2))</x:f>
        <x:v>392.583469832985</x:v>
      </x:c>
      <x:c r="O70" s="40" t="n">
        <x:f>K60/K61*MAX(0,MIN(O$6,(K$3+K$6)/2+K61)-MAX(O$3,(K$3+K$6)/2))</x:f>
        <x:v>392.583469832985</x:v>
      </x:c>
      <x:c r="P70" s="40" t="n">
        <x:f>K60/K61*MAX(0,MIN(P$6,(K$3+K$6)/2+K61)-MAX(P$3,(K$3+K$6)/2))</x:f>
        <x:v>392.583469832985</x:v>
      </x:c>
      <x:c r="Q70" s="40" t="n">
        <x:f>K60/K61*MAX(0,MIN(Q$6,(K$3+K$6)/2+K61)-MAX(Q$3,(K$3+K$6)/2))</x:f>
        <x:v>392.583469832985</x:v>
      </x:c>
      <x:c r="R70" s="40" t="n">
        <x:f>K60/K61*MAX(0,MIN(R$6,(K$3+K$6)/2+K61)-MAX(R$3,(K$3+K$6)/2))</x:f>
        <x:v>392.583469832985</x:v>
      </x:c>
      <x:c r="S70" s="40" t="n">
        <x:f>K60/K61*MAX(0,MIN(S$6,(K$3+K$6)/2+K61)-MAX(S$3,(K$3+K$6)/2))</x:f>
        <x:v>392.583469832985</x:v>
      </x:c>
    </x:row>
    <x:row r="71" ht="20" customHeight="1">
      <x:c r="A71" s="3"/>
      <x:c r="B71" s="3"/>
      <x:c r="C71" s="3" t="str">
        <x:v>D&amp;A nakładów 2034E</x:v>
      </x:c>
      <x:c r="D71" s="40" t="n">
        <x:f>0</x:f>
        <x:v>0</x:v>
      </x:c>
      <x:c r="E71" s="40" t="n">
        <x:f>0</x:f>
        <x:v>0</x:v>
      </x:c>
      <x:c r="F71" s="40" t="n">
        <x:f>0</x:f>
        <x:v>0</x:v>
      </x:c>
      <x:c r="G71" s="40" t="n">
        <x:f>0</x:f>
        <x:v>0</x:v>
      </x:c>
      <x:c r="H71" s="40" t="n">
        <x:f>0</x:f>
        <x:v>0</x:v>
      </x:c>
      <x:c r="I71" s="40" t="n">
        <x:f>0</x:f>
        <x:v>0</x:v>
      </x:c>
      <x:c r="J71" s="40" t="n">
        <x:f>0</x:f>
        <x:v>0</x:v>
      </x:c>
      <x:c r="K71" s="40" t="n">
        <x:f>0</x:f>
        <x:v>0</x:v>
      </x:c>
      <x:c r="L71" s="40" t="n">
        <x:f>L60/L61*MAX(0,MIN(L$6,(L$3+L$6)/2+L61)-MAX(L$3,(L$3+L$6)/2))</x:f>
        <x:v>215.5423914991727</x:v>
      </x:c>
      <x:c r="M71" s="40" t="n">
        <x:f>L60/L61*MAX(0,MIN(M$6,(L$3+L$6)/2+L61)-MAX(M$3,(L$3+L$6)/2))</x:f>
        <x:v>431.0847829983454</x:v>
      </x:c>
      <x:c r="N71" s="40" t="n">
        <x:f>L60/L61*MAX(0,MIN(N$6,(L$3+L$6)/2+L61)-MAX(N$3,(L$3+L$6)/2))</x:f>
        <x:v>431.0847829983454</x:v>
      </x:c>
      <x:c r="O71" s="40" t="n">
        <x:f>L60/L61*MAX(0,MIN(O$6,(L$3+L$6)/2+L61)-MAX(O$3,(L$3+L$6)/2))</x:f>
        <x:v>431.0847829983454</x:v>
      </x:c>
      <x:c r="P71" s="40" t="n">
        <x:f>L60/L61*MAX(0,MIN(P$6,(L$3+L$6)/2+L61)-MAX(P$3,(L$3+L$6)/2))</x:f>
        <x:v>431.0847829983454</x:v>
      </x:c>
      <x:c r="Q71" s="40" t="n">
        <x:f>L60/L61*MAX(0,MIN(Q$6,(L$3+L$6)/2+L61)-MAX(Q$3,(L$3+L$6)/2))</x:f>
        <x:v>431.0847829983454</x:v>
      </x:c>
      <x:c r="R71" s="40" t="n">
        <x:f>L60/L61*MAX(0,MIN(R$6,(L$3+L$6)/2+L61)-MAX(R$3,(L$3+L$6)/2))</x:f>
        <x:v>431.0847829983454</x:v>
      </x:c>
      <x:c r="S71" s="40" t="n">
        <x:f>L60/L61*MAX(0,MIN(S$6,(L$3+L$6)/2+L61)-MAX(S$3,(L$3+L$6)/2))</x:f>
        <x:v>431.0847829983454</x:v>
      </x:c>
    </x:row>
    <x:row r="72" ht="20" customHeight="1">
      <x:c r="A72" s="3"/>
      <x:c r="B72" s="3"/>
      <x:c r="C72" s="3" t="str">
        <x:v>D&amp;A nakładów 2035E</x:v>
      </x:c>
      <x:c r="D72" s="40" t="n">
        <x:f>0</x:f>
        <x:v>0</x:v>
      </x:c>
      <x:c r="E72" s="40" t="n">
        <x:f>0</x:f>
        <x:v>0</x:v>
      </x:c>
      <x:c r="F72" s="40" t="n">
        <x:f>0</x:f>
        <x:v>0</x:v>
      </x:c>
      <x:c r="G72" s="40" t="n">
        <x:f>0</x:f>
        <x:v>0</x:v>
      </x:c>
      <x:c r="H72" s="40" t="n">
        <x:f>0</x:f>
        <x:v>0</x:v>
      </x:c>
      <x:c r="I72" s="40" t="n">
        <x:f>0</x:f>
        <x:v>0</x:v>
      </x:c>
      <x:c r="J72" s="40" t="n">
        <x:f>0</x:f>
        <x:v>0</x:v>
      </x:c>
      <x:c r="K72" s="40" t="n">
        <x:f>0</x:f>
        <x:v>0</x:v>
      </x:c>
      <x:c r="L72" s="40" t="n">
        <x:f>0</x:f>
        <x:v>0</x:v>
      </x:c>
      <x:c r="M72" s="40" t="n">
        <x:f>M60/M61*MAX(0,MIN(M$6,(M$3+M$6)/2+M61)-MAX(M$3,(M$3+M$6)/2))</x:f>
        <x:v>236.72707583348165</x:v>
      </x:c>
      <x:c r="N72" s="40" t="n">
        <x:f>M60/M61*MAX(0,MIN(N$6,(M$3+M$6)/2+M61)-MAX(N$3,(M$3+M$6)/2))</x:f>
        <x:v>473.4541516669633</x:v>
      </x:c>
      <x:c r="O72" s="40" t="n">
        <x:f>M60/M61*MAX(0,MIN(O$6,(M$3+M$6)/2+M61)-MAX(O$3,(M$3+M$6)/2))</x:f>
        <x:v>473.4541516669633</x:v>
      </x:c>
      <x:c r="P72" s="40" t="n">
        <x:f>M60/M61*MAX(0,MIN(P$6,(M$3+M$6)/2+M61)-MAX(P$3,(M$3+M$6)/2))</x:f>
        <x:v>473.4541516669633</x:v>
      </x:c>
      <x:c r="Q72" s="40" t="n">
        <x:f>M60/M61*MAX(0,MIN(Q$6,(M$3+M$6)/2+M61)-MAX(Q$3,(M$3+M$6)/2))</x:f>
        <x:v>473.4541516669633</x:v>
      </x:c>
      <x:c r="R72" s="40" t="n">
        <x:f>M60/M61*MAX(0,MIN(R$6,(M$3+M$6)/2+M61)-MAX(R$3,(M$3+M$6)/2))</x:f>
        <x:v>473.4541516669633</x:v>
      </x:c>
      <x:c r="S72" s="40" t="n">
        <x:f>M60/M61*MAX(0,MIN(S$6,(M$3+M$6)/2+M61)-MAX(S$3,(M$3+M$6)/2))</x:f>
        <x:v>473.4541516669633</x:v>
      </x:c>
    </x:row>
    <x:row r="73" ht="20" customHeight="1">
      <x:c r="A73" s="3"/>
      <x:c r="B73" s="3"/>
      <x:c r="C73" s="3" t="str">
        <x:v>D&amp;A nakładów 2036E</x:v>
      </x:c>
      <x:c r="D73" s="40" t="n">
        <x:f>0</x:f>
        <x:v>0</x:v>
      </x:c>
      <x:c r="E73" s="40" t="n">
        <x:f>0</x:f>
        <x:v>0</x:v>
      </x:c>
      <x:c r="F73" s="40" t="n">
        <x:f>0</x:f>
        <x:v>0</x:v>
      </x:c>
      <x:c r="G73" s="40" t="n">
        <x:f>0</x:f>
        <x:v>0</x:v>
      </x:c>
      <x:c r="H73" s="40" t="n">
        <x:f>0</x:f>
        <x:v>0</x:v>
      </x:c>
      <x:c r="I73" s="40" t="n">
        <x:f>0</x:f>
        <x:v>0</x:v>
      </x:c>
      <x:c r="J73" s="40" t="n">
        <x:f>0</x:f>
        <x:v>0</x:v>
      </x:c>
      <x:c r="K73" s="40" t="n">
        <x:f>0</x:f>
        <x:v>0</x:v>
      </x:c>
      <x:c r="L73" s="40" t="n">
        <x:f>0</x:f>
        <x:v>0</x:v>
      </x:c>
      <x:c r="M73" s="40" t="n">
        <x:f>0</x:f>
        <x:v>0</x:v>
      </x:c>
      <x:c r="N73" s="40" t="n">
        <x:f>N60/N61*MAX(0,MIN(N$6,(N$3+N$6)/2+N61)-MAX(N$3,(N$3+N$6)/2))</x:f>
        <x:v>243.7002475726018</x:v>
      </x:c>
      <x:c r="O73" s="40" t="n">
        <x:f>N60/N61*MAX(0,MIN(O$6,(N$3+N$6)/2+N61)-MAX(O$3,(N$3+N$6)/2))</x:f>
        <x:v>487.4004951452036</x:v>
      </x:c>
      <x:c r="P73" s="40" t="n">
        <x:f>N60/N61*MAX(0,MIN(P$6,(N$3+N$6)/2+N61)-MAX(P$3,(N$3+N$6)/2))</x:f>
        <x:v>487.4004951452036</x:v>
      </x:c>
      <x:c r="Q73" s="40" t="n">
        <x:f>N60/N61*MAX(0,MIN(Q$6,(N$3+N$6)/2+N61)-MAX(Q$3,(N$3+N$6)/2))</x:f>
        <x:v>487.4004951452036</x:v>
      </x:c>
      <x:c r="R73" s="40" t="n">
        <x:f>N60/N61*MAX(0,MIN(R$6,(N$3+N$6)/2+N61)-MAX(R$3,(N$3+N$6)/2))</x:f>
        <x:v>487.4004951452036</x:v>
      </x:c>
      <x:c r="S73" s="40" t="n">
        <x:f>N60/N61*MAX(0,MIN(S$6,(N$3+N$6)/2+N61)-MAX(S$3,(N$3+N$6)/2))</x:f>
        <x:v>487.4004951452036</x:v>
      </x:c>
    </x:row>
    <x:row r="74" ht="20" customHeight="1">
      <x:c r="A74" s="3"/>
      <x:c r="B74" s="3"/>
      <x:c r="C74" s="3" t="str">
        <x:v>D&amp;A nakładów 2037E</x:v>
      </x:c>
      <x:c r="D74" s="40" t="n">
        <x:f>0</x:f>
        <x:v>0</x:v>
      </x:c>
      <x:c r="E74" s="40" t="n">
        <x:f>0</x:f>
        <x:v>0</x:v>
      </x:c>
      <x:c r="F74" s="40" t="n">
        <x:f>0</x:f>
        <x:v>0</x:v>
      </x:c>
      <x:c r="G74" s="40" t="n">
        <x:f>0</x:f>
        <x:v>0</x:v>
      </x:c>
      <x:c r="H74" s="40" t="n">
        <x:f>0</x:f>
        <x:v>0</x:v>
      </x:c>
      <x:c r="I74" s="40" t="n">
        <x:f>0</x:f>
        <x:v>0</x:v>
      </x:c>
      <x:c r="J74" s="40" t="n">
        <x:f>0</x:f>
        <x:v>0</x:v>
      </x:c>
      <x:c r="K74" s="40" t="n">
        <x:f>0</x:f>
        <x:v>0</x:v>
      </x:c>
      <x:c r="L74" s="40" t="n">
        <x:f>0</x:f>
        <x:v>0</x:v>
      </x:c>
      <x:c r="M74" s="40" t="n">
        <x:f>0</x:f>
        <x:v>0</x:v>
      </x:c>
      <x:c r="N74" s="40" t="n">
        <x:f>0</x:f>
        <x:v>0</x:v>
      </x:c>
      <x:c r="O74" s="40" t="n">
        <x:f>O60/O61*MAX(0,MIN(O$6,(O$3+O$6)/2+O61)-MAX(O$3,(O$3+O$6)/2))</x:f>
        <x:v>249.7376521355518</x:v>
      </x:c>
      <x:c r="P74" s="40" t="n">
        <x:f>O60/O61*MAX(0,MIN(P$6,(O$3+O$6)/2+O61)-MAX(P$3,(O$3+O$6)/2))</x:f>
        <x:v>499.4753042711036</x:v>
      </x:c>
      <x:c r="Q74" s="40" t="n">
        <x:f>O60/O61*MAX(0,MIN(Q$6,(O$3+O$6)/2+O61)-MAX(Q$3,(O$3+O$6)/2))</x:f>
        <x:v>499.4753042711036</x:v>
      </x:c>
      <x:c r="R74" s="40" t="n">
        <x:f>O60/O61*MAX(0,MIN(R$6,(O$3+O$6)/2+O61)-MAX(R$3,(O$3+O$6)/2))</x:f>
        <x:v>499.4753042711036</x:v>
      </x:c>
      <x:c r="S74" s="40" t="n">
        <x:f>O60/O61*MAX(0,MIN(S$6,(O$3+O$6)/2+O61)-MAX(S$3,(O$3+O$6)/2))</x:f>
        <x:v>499.4753042711036</x:v>
      </x:c>
    </x:row>
    <x:row r="75" ht="20" customHeight="1">
      <x:c r="A75" s="3"/>
      <x:c r="B75" s="3"/>
      <x:c r="C75" s="3" t="str">
        <x:v>D&amp;A nakładów 2038E</x:v>
      </x:c>
      <x:c r="D75" s="40" t="n">
        <x:f>0</x:f>
        <x:v>0</x:v>
      </x:c>
      <x:c r="E75" s="40" t="n">
        <x:f>0</x:f>
        <x:v>0</x:v>
      </x:c>
      <x:c r="F75" s="40" t="n">
        <x:f>0</x:f>
        <x:v>0</x:v>
      </x:c>
      <x:c r="G75" s="40" t="n">
        <x:f>0</x:f>
        <x:v>0</x:v>
      </x:c>
      <x:c r="H75" s="40" t="n">
        <x:f>0</x:f>
        <x:v>0</x:v>
      </x:c>
      <x:c r="I75" s="40" t="n">
        <x:f>0</x:f>
        <x:v>0</x:v>
      </x:c>
      <x:c r="J75" s="40" t="n">
        <x:f>0</x:f>
        <x:v>0</x:v>
      </x:c>
      <x:c r="K75" s="40" t="n">
        <x:f>0</x:f>
        <x:v>0</x:v>
      </x:c>
      <x:c r="L75" s="40" t="n">
        <x:f>0</x:f>
        <x:v>0</x:v>
      </x:c>
      <x:c r="M75" s="40" t="n">
        <x:f>0</x:f>
        <x:v>0</x:v>
      </x:c>
      <x:c r="N75" s="40" t="n">
        <x:f>0</x:f>
        <x:v>0</x:v>
      </x:c>
      <x:c r="O75" s="40" t="n">
        <x:f>0</x:f>
        <x:v>0</x:v>
      </x:c>
      <x:c r="P75" s="40" t="n">
        <x:f>P60/P61*MAX(0,MIN(P$6,(P$3+P$6)/2+P61)-MAX(P$3,(P$3+P$6)/2))</x:f>
        <x:v>255.9338962417447</x:v>
      </x:c>
      <x:c r="Q75" s="40" t="n">
        <x:f>P60/P61*MAX(0,MIN(Q$6,(P$3+P$6)/2+P61)-MAX(Q$3,(P$3+P$6)/2))</x:f>
        <x:v>511.8677924834894</x:v>
      </x:c>
      <x:c r="R75" s="40" t="n">
        <x:f>P60/P61*MAX(0,MIN(R$6,(P$3+P$6)/2+P61)-MAX(R$3,(P$3+P$6)/2))</x:f>
        <x:v>511.8677924834894</x:v>
      </x:c>
      <x:c r="S75" s="40" t="n">
        <x:f>P60/P61*MAX(0,MIN(S$6,(P$3+P$6)/2+P61)-MAX(S$3,(P$3+P$6)/2))</x:f>
        <x:v>511.8677924834894</x:v>
      </x:c>
    </x:row>
    <x:row r="76" ht="20" customHeight="1">
      <x:c r="A76" s="3"/>
      <x:c r="B76" s="3"/>
      <x:c r="C76" s="3" t="str">
        <x:v>D&amp;A nakładów 2039E</x:v>
      </x:c>
      <x:c r="D76" s="40" t="n">
        <x:f>0</x:f>
        <x:v>0</x:v>
      </x:c>
      <x:c r="E76" s="40" t="n">
        <x:f>0</x:f>
        <x:v>0</x:v>
      </x:c>
      <x:c r="F76" s="40" t="n">
        <x:f>0</x:f>
        <x:v>0</x:v>
      </x:c>
      <x:c r="G76" s="40" t="n">
        <x:f>0</x:f>
        <x:v>0</x:v>
      </x:c>
      <x:c r="H76" s="40" t="n">
        <x:f>0</x:f>
        <x:v>0</x:v>
      </x:c>
      <x:c r="I76" s="40" t="n">
        <x:f>0</x:f>
        <x:v>0</x:v>
      </x:c>
      <x:c r="J76" s="40" t="n">
        <x:f>0</x:f>
        <x:v>0</x:v>
      </x:c>
      <x:c r="K76" s="40" t="n">
        <x:f>0</x:f>
        <x:v>0</x:v>
      </x:c>
      <x:c r="L76" s="40" t="n">
        <x:f>0</x:f>
        <x:v>0</x:v>
      </x:c>
      <x:c r="M76" s="40" t="n">
        <x:f>0</x:f>
        <x:v>0</x:v>
      </x:c>
      <x:c r="N76" s="40" t="n">
        <x:f>0</x:f>
        <x:v>0</x:v>
      </x:c>
      <x:c r="O76" s="40" t="n">
        <x:f>0</x:f>
        <x:v>0</x:v>
      </x:c>
      <x:c r="P76" s="40" t="n">
        <x:f>0</x:f>
        <x:v>0</x:v>
      </x:c>
      <x:c r="Q76" s="40" t="n">
        <x:f>Q60/Q61*MAX(0,MIN(Q$6,(Q$3+Q$6)/2+Q61)-MAX(Q$3,(Q$3+Q$6)/2))</x:f>
        <x:v>262.2933669839401</x:v>
      </x:c>
      <x:c r="R76" s="40" t="n">
        <x:f>Q60/Q61*MAX(0,MIN(R$6,(Q$3+Q$6)/2+Q61)-MAX(R$3,(Q$3+Q$6)/2))</x:f>
        <x:v>524.5867339678801</x:v>
      </x:c>
      <x:c r="S76" s="40" t="n">
        <x:f>Q60/Q61*MAX(0,MIN(S$6,(Q$3+Q$6)/2+Q61)-MAX(S$3,(Q$3+Q$6)/2))</x:f>
        <x:v>524.5867339678801</x:v>
      </x:c>
    </x:row>
    <x:row r="77" ht="20" customHeight="1">
      <x:c r="A77" s="3"/>
      <x:c r="B77" s="3"/>
      <x:c r="C77" s="3" t="str">
        <x:v>D&amp;A nakładów 2040E</x:v>
      </x:c>
      <x:c r="D77" s="40" t="n">
        <x:f>0</x:f>
        <x:v>0</x:v>
      </x:c>
      <x:c r="E77" s="40" t="n">
        <x:f>0</x:f>
        <x:v>0</x:v>
      </x:c>
      <x:c r="F77" s="40" t="n">
        <x:f>0</x:f>
        <x:v>0</x:v>
      </x:c>
      <x:c r="G77" s="40" t="n">
        <x:f>0</x:f>
        <x:v>0</x:v>
      </x:c>
      <x:c r="H77" s="40" t="n">
        <x:f>0</x:f>
        <x:v>0</x:v>
      </x:c>
      <x:c r="I77" s="40" t="n">
        <x:f>0</x:f>
        <x:v>0</x:v>
      </x:c>
      <x:c r="J77" s="40" t="n">
        <x:f>0</x:f>
        <x:v>0</x:v>
      </x:c>
      <x:c r="K77" s="40" t="n">
        <x:f>0</x:f>
        <x:v>0</x:v>
      </x:c>
      <x:c r="L77" s="40" t="n">
        <x:f>0</x:f>
        <x:v>0</x:v>
      </x:c>
      <x:c r="M77" s="40" t="n">
        <x:f>0</x:f>
        <x:v>0</x:v>
      </x:c>
      <x:c r="N77" s="40" t="n">
        <x:f>0</x:f>
        <x:v>0</x:v>
      </x:c>
      <x:c r="O77" s="40" t="n">
        <x:f>0</x:f>
        <x:v>0</x:v>
      </x:c>
      <x:c r="P77" s="40" t="n">
        <x:f>0</x:f>
        <x:v>0</x:v>
      </x:c>
      <x:c r="Q77" s="40" t="n">
        <x:f>0</x:f>
        <x:v>0</x:v>
      </x:c>
      <x:c r="R77" s="40" t="n">
        <x:f>R60/R61*MAX(0,MIN(R$6,(R$3+R$6)/2+R61)-MAX(R$3,(R$3+R$6)/2))</x:f>
        <x:v>268.82057702653606</x:v>
      </x:c>
      <x:c r="S77" s="40" t="n">
        <x:f>R60/R61*MAX(0,MIN(S$6,(R$3+R$6)/2+R61)-MAX(S$3,(R$3+R$6)/2))</x:f>
        <x:v>537.6411540530721</x:v>
      </x:c>
    </x:row>
    <x:row r="78" ht="20" customHeight="1">
      <x:c r="A78" s="3"/>
      <x:c r="B78" s="3"/>
      <x:c r="C78" s="3" t="str">
        <x:v>D&amp;A nakładów 2041E</x:v>
      </x:c>
      <x:c r="D78" s="40" t="n">
        <x:f>0</x:f>
        <x:v>0</x:v>
      </x:c>
      <x:c r="E78" s="40" t="n">
        <x:f>0</x:f>
        <x:v>0</x:v>
      </x:c>
      <x:c r="F78" s="40" t="n">
        <x:f>0</x:f>
        <x:v>0</x:v>
      </x:c>
      <x:c r="G78" s="40" t="n">
        <x:f>0</x:f>
        <x:v>0</x:v>
      </x:c>
      <x:c r="H78" s="40" t="n">
        <x:f>0</x:f>
        <x:v>0</x:v>
      </x:c>
      <x:c r="I78" s="40" t="n">
        <x:f>0</x:f>
        <x:v>0</x:v>
      </x:c>
      <x:c r="J78" s="40" t="n">
        <x:f>0</x:f>
        <x:v>0</x:v>
      </x:c>
      <x:c r="K78" s="40" t="n">
        <x:f>0</x:f>
        <x:v>0</x:v>
      </x:c>
      <x:c r="L78" s="40" t="n">
        <x:f>0</x:f>
        <x:v>0</x:v>
      </x:c>
      <x:c r="M78" s="40" t="n">
        <x:f>0</x:f>
        <x:v>0</x:v>
      </x:c>
      <x:c r="N78" s="40" t="n">
        <x:f>0</x:f>
        <x:v>0</x:v>
      </x:c>
      <x:c r="O78" s="40" t="n">
        <x:f>0</x:f>
        <x:v>0</x:v>
      </x:c>
      <x:c r="P78" s="40" t="n">
        <x:f>0</x:f>
        <x:v>0</x:v>
      </x:c>
      <x:c r="Q78" s="40" t="n">
        <x:f>0</x:f>
        <x:v>0</x:v>
      </x:c>
      <x:c r="R78" s="40" t="n">
        <x:f>0</x:f>
        <x:v>0</x:v>
      </x:c>
      <x:c r="S78" s="40" t="n">
        <x:f>S60/S61*MAX(0,MIN(S$6,(S$3+S$6)/2+S61)-MAX(S$3,(S$3+S$6)/2))</x:f>
        <x:v>275.5201682884867</x:v>
      </x:c>
    </x:row>
    <x:row r="79" ht="23" customHeight="1">
      <x:c r="A79" s="3"/>
      <x:c r="B79" s="3"/>
      <x:c r="C79" s="45" t="str">
        <x:v>D&amp;A razem</x:v>
      </x:c>
      <x:c r="D79" s="46" t="n">
        <x:f>SUM(D62:D78)</x:f>
        <x:v>112.07788339285713</x:v>
      </x:c>
      <x:c r="E79" s="46" t="n">
        <x:f>SUM(E62:E78)</x:f>
        <x:v>555.0394456361805</x:v>
      </x:c>
      <x:c r="F79" s="46" t="n">
        <x:f>SUM(F62:F78)</x:f>
        <x:v>745.7443263878922</x:v>
      </x:c>
      <x:c r="G79" s="46" t="n">
        <x:f>SUM(G62:G78)</x:f>
        <x:v>973.1267540723804</x:v>
      </x:c>
      <x:c r="H79" s="46" t="n">
        <x:f>SUM(H62:H78)</x:f>
        <x:v>1244.244478024501</x:v>
      </x:c>
      <x:c r="I79" s="46" t="n">
        <x:f>SUM(I62:I78)</x:f>
        <x:v>1554.5865858460847</x:v>
      </x:c>
      <x:c r="J79" s="46" t="n">
        <x:f>SUM(J62:J78)</x:f>
        <x:v>1896.2714784730474</x:v>
      </x:c>
      <x:c r="K79" s="46" t="n">
        <x:f>SUM(K62:K78)</x:f>
        <x:v>2164.2155110066533</x:v>
      </x:c>
      <x:c r="L79" s="46" t="n">
        <x:f>SUM(L62:L78)</x:f>
        <x:v>2254.621065993747</x:v>
      </x:c>
      <x:c r="M79" s="46" t="n">
        <x:f>SUM(M62:M78)</x:f>
        <x:v>2706.890533326401</x:v>
      </x:c>
      <x:c r="N79" s="46" t="n">
        <x:f>SUM(N62:N78)</x:f>
        <x:v>3182.382830482485</x:v>
      </x:c>
      <x:c r="O79" s="46" t="n">
        <x:f>SUM(O62:O78)</x:f>
        <x:v>3554.2877393758863</x:v>
      </x:c>
      <x:c r="P79" s="46" t="n">
        <x:f>SUM(P62:P78)</x:f>
        <x:v>3869.2544070014715</x:v>
      </x:c>
      <x:c r="Q79" s="46" t="n">
        <x:f>SUM(Q62:Q78)</x:f>
        <x:v>4160.0992425426675</x:v>
      </x:c>
      <x:c r="R79" s="46" t="n">
        <x:f>SUM(R62:R78)</x:f>
        <x:v>4420.0954626010225</x:v>
      </x:c>
      <x:c r="S79" s="46" t="n">
        <x:f>SUM(S62:S78)</x:f>
        <x:v>4654.094100094462</x:v>
      </x:c>
    </x:row>
    <x:row r="80" ht="23" customHeight="1">
      <x:c r="A80" s="3"/>
      <x:c r="B80" s="3"/>
      <x:c r="C80" s="45" t="str">
        <x:v>Wartość netto na koniec</x:v>
      </x:c>
      <x:c r="D80" s="46" t="n">
        <x:f>SUM(D59:D60)-D79</x:f>
        <x:v>3282.724216607143</x:v>
      </x:c>
      <x:c r="E80" s="46" t="n">
        <x:f>SUM(E59:E60)-E79</x:f>
        <x:v>4467.440912266002</x:v>
      </x:c>
      <x:c r="F80" s="46" t="n">
        <x:f>SUM(F59:F60)-F79</x:f>
        <x:v>5796.038059617305</x:v>
      </x:c>
      <x:c r="G80" s="46" t="n">
        <x:f>SUM(G59:G60)-G79</x:f>
        <x:v>7296.218385495495</x:v>
      </x:c>
      <x:c r="H80" s="46" t="n">
        <x:f>SUM(H59:H60)-H79</x:f>
        <x:v>9001.021306562836</x:v>
      </x:c>
      <x:c r="I80" s="46" t="n">
        <x:f>SUM(I59:I60)-I79</x:f>
        <x:v>10704.229478056583</x:v>
      </x:c>
      <x:c r="J80" s="46" t="n">
        <x:f>SUM(J59:J60)-J79</x:f>
        <x:v>12383.861094782953</x:v>
      </x:c>
      <x:c r="K80" s="46" t="n">
        <x:f>SUM(K59:K60)-K79</x:f>
        <x:v>14145.48028210615</x:v>
      </x:c>
      <x:c r="L80" s="46" t="n">
        <x:f>SUM(L59:L60)-L79</x:f>
        <x:v>16201.707046095857</x:v>
      </x:c>
      <x:c r="M80" s="46" t="n">
        <x:f>SUM(M59:M60)-M79</x:f>
        <x:v>18229.35802943909</x:v>
      </x:c>
      <x:c r="N80" s="46" t="n">
        <x:f>SUM(N59:N60)-N79</x:f>
        <x:v>19920.98015040864</x:v>
      </x:c>
      <x:c r="O80" s="46" t="n">
        <x:f>SUM(O59:O60)-O79</x:f>
        <x:v>21361.44545374379</x:v>
      </x:c>
      <x:c r="P80" s="46" t="n">
        <x:f>SUM(P59:P60)-P79</x:f>
        <x:v>22610.868971577213</x:v>
      </x:c>
      <x:c r="Q80" s="46" t="n">
        <x:f>SUM(Q59:Q60)-Q79</x:f>
        <x:v>23696.637068713346</x:v>
      </x:c>
      <x:c r="R80" s="46" t="n">
        <x:f>SUM(R59:R60)-R79</x:f>
        <x:v>24652.95314664304</x:v>
      </x:c>
      <x:c r="S80" s="46" t="n">
        <x:f>SUM(S59:S60)-S79</x:f>
        <x:v>25509.262412318312</x:v>
      </x:c>
    </x:row>
    <x:row r="81" ht="20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0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3" customHeight="1">
      <x:c r="A83" s="3"/>
      <x:c r="B83" s="3"/>
      <x:c r="C83" s="17" t="str">
        <x:v>SI: serwery i GPU</x:v>
      </x:c>
      <x:c r="D83" s="17"/>
      <x:c r="E83" s="17"/>
      <x:c r="F83" s="17"/>
      <x:c r="G83" s="17"/>
      <x:c r="H83" s="17"/>
      <x:c r="I83" s="17"/>
      <x:c r="J83" s="17"/>
      <x:c r="K83" s="17"/>
      <x:c r="L83" s="17"/>
      <x:c r="M83" s="17"/>
      <x:c r="N83" s="17"/>
      <x:c r="O83" s="17"/>
      <x:c r="P83" s="17"/>
      <x:c r="Q83" s="17"/>
      <x:c r="R83" s="17"/>
      <x:c r="S83" s="17"/>
    </x:row>
    <x:row r="84" ht="20" customHeight="1">
      <x:c r="A84" s="3"/>
      <x:c r="B84" s="3"/>
      <x:c r="C84" s="3" t="str">
        <x:v>Wartość netto na początek</x:v>
      </x:c>
      <x:c r="D84" s="38" t="n">
        <x:f>'Założenia'!$D$207</x:f>
        <x:v>43175.2</x:v>
      </x:c>
      <x:c r="E84" s="40" t="n">
        <x:f>D105</x:f>
        <x:v>59987.916666666664</x:v>
      </x:c>
      <x:c r="F84" s="40" t="n">
        <x:f>E105</x:f>
        <x:v>78664.3850284704</x:v>
      </x:c>
      <x:c r="G84" s="40" t="n">
        <x:f>F105</x:f>
        <x:v>107627.26954752905</x:v>
      </x:c>
      <x:c r="H84" s="40" t="n">
        <x:f>G105</x:f>
        <x:v>155600.5389611902</x:v>
      </x:c>
      <x:c r="I84" s="40" t="n">
        <x:f>H105</x:f>
        <x:v>237460.55537378564</x:v>
      </x:c>
      <x:c r="J84" s="40" t="n">
        <x:f>I105</x:f>
        <x:v>246224.78412645703</x:v>
      </x:c>
      <x:c r="K84" s="40" t="n">
        <x:f>J105</x:f>
        <x:v>252757.82326258218</x:v>
      </x:c>
      <x:c r="L84" s="40" t="n">
        <x:f>K105</x:f>
        <x:v>258634.413848188</x:v>
      </x:c>
      <x:c r="M84" s="40" t="n">
        <x:f>L105</x:f>
        <x:v>267951.449646426</x:v>
      </x:c>
      <x:c r="N84" s="40" t="n">
        <x:f>M105</x:f>
        <x:v>287272.4875784275</x:v>
      </x:c>
      <x:c r="O84" s="40" t="n">
        <x:f>N105</x:f>
        <x:v>281906.41223870835</x:v>
      </x:c>
      <x:c r="P84" s="40" t="n">
        <x:f>O105</x:f>
        <x:v>276897.53942195285</x:v>
      </x:c>
      <x:c r="Q84" s="40" t="n">
        <x:f>P105</x:f>
        <x:v>273542.6087453177</x:v>
      </x:c>
      <x:c r="R84" s="40" t="n">
        <x:f>Q105</x:f>
        <x:v>273296.5243831082</x:v>
      </x:c>
      <x:c r="S84" s="40" t="n">
        <x:f>R105</x:f>
        <x:v>277788.44432180823</x:v>
      </x:c>
    </x:row>
    <x:row r="85" ht="20" customHeight="1">
      <x:c r="A85" s="3"/>
      <x:c r="B85" s="3"/>
      <x:c r="C85" s="3" t="str">
        <x:v>Aktywa oddane do użycia</x:v>
      </x:c>
      <x:c r="D85" s="38" t="n">
        <x:f>'Operacje'!D63*'Założenia'!$D$183</x:f>
        <x:v>20934</x:v>
      </x:c>
      <x:c r="E85" s="38" t="n">
        <x:f>'Operacje'!E63*'Założenia'!$D$183</x:f>
        <x:v>41394.44632793008</x:v>
      </x:c>
      <x:c r="F85" s="38" t="n">
        <x:f>'Operacje'!F63*'Założenia'!$D$183</x:f>
        <x:v>62022.56346442001</x:v>
      </x:c>
      <x:c r="G85" s="38" t="n">
        <x:f>'Operacje'!G63*'Założenia'!$D$183</x:f>
        <x:v>92930.30152459018</x:v>
      </x:c>
      <x:c r="H85" s="38" t="n">
        <x:f>'Operacje'!H63*'Założenia'!$D$183</x:f>
        <x:v>139240.30963998163</x:v>
      </x:c>
      <x:c r="I85" s="38" t="n">
        <x:f>'Operacje'!I63*'Założenia'!$D$183</x:f>
        <x:v>88383.55882672865</x:v>
      </x:c>
      <x:c r="J85" s="38" t="n">
        <x:f>'Operacje'!J63*'Założenia'!$D$183</x:f>
        <x:v>96875.36717784694</x:v>
      </x:c>
      <x:c r="K85" s="38" t="n">
        <x:f>'Operacje'!K63*'Założenia'!$D$183</x:f>
        <x:v>106183.06040653033</x:v>
      </x:c>
      <x:c r="L85" s="38" t="n">
        <x:f>'Operacje'!L63*'Założenia'!$D$183</x:f>
        <x:v>116385.02795657172</x:v>
      </x:c>
      <x:c r="M85" s="38" t="n">
        <x:f>'Operacje'!M63*'Założenia'!$D$183</x:f>
        <x:v>127567.19085503905</x:v>
      </x:c>
      <x:c r="N85" s="38" t="n">
        <x:f>'Operacje'!N63*'Założenia'!$D$183</x:f>
        <x:v>103193.7886912793</x:v>
      </x:c>
      <x:c r="O85" s="38" t="n">
        <x:f>'Operacje'!O63*'Założenia'!$D$183</x:f>
        <x:v>105938.30831434813</x:v>
      </x:c>
      <x:c r="P85" s="38" t="n">
        <x:f>'Operacje'!P63*'Założenia'!$D$183</x:f>
        <x:v>108755.82058607282</x:v>
      </x:c>
      <x:c r="Q85" s="38" t="n">
        <x:f>'Operacje'!Q63*'Założenia'!$D$183</x:f>
        <x:v>111648.2668031062</x:v>
      </x:c>
      <x:c r="R85" s="38" t="n">
        <x:f>'Operacje'!R63*'Założenia'!$D$183</x:f>
        <x:v>114617.63989240583</x:v>
      </x:c>
      <x:c r="S85" s="38" t="n">
        <x:f>'Operacje'!S63*'Założenia'!$D$183</x:f>
        <x:v>117665.98578438224</x:v>
      </x:c>
    </x:row>
    <x:row r="86" ht="20" customHeight="1">
      <x:c r="A86" s="3"/>
      <x:c r="B86" s="3"/>
      <x:c r="C86" s="3" t="str">
        <x:v>Żywotność nowych aktywów (lata)</x:v>
      </x:c>
      <x:c r="D86" s="38" t="n">
        <x:f>'Założenia'!D157</x:f>
        <x:v>5</x:v>
      </x:c>
      <x:c r="E86" s="38" t="n">
        <x:f>'Założenia'!E157</x:f>
        <x:v>5</x:v>
      </x:c>
      <x:c r="F86" s="38" t="n">
        <x:f>'Założenia'!F157</x:f>
        <x:v>5</x:v>
      </x:c>
      <x:c r="G86" s="38" t="n">
        <x:f>'Założenia'!G157</x:f>
        <x:v>5</x:v>
      </x:c>
      <x:c r="H86" s="38" t="n">
        <x:f>'Założenia'!H157</x:f>
        <x:v>5</x:v>
      </x:c>
      <x:c r="I86" s="38" t="n">
        <x:f>'Założenia'!I157</x:f>
        <x:v>5</x:v>
      </x:c>
      <x:c r="J86" s="38" t="n">
        <x:f>'Założenia'!J157</x:f>
        <x:v>5</x:v>
      </x:c>
      <x:c r="K86" s="38" t="n">
        <x:f>'Założenia'!K157</x:f>
        <x:v>5</x:v>
      </x:c>
      <x:c r="L86" s="38" t="n">
        <x:f>'Założenia'!L157</x:f>
        <x:v>5</x:v>
      </x:c>
      <x:c r="M86" s="38" t="n">
        <x:f>'Założenia'!M157</x:f>
        <x:v>5</x:v>
      </x:c>
      <x:c r="N86" s="38" t="n">
        <x:f>'Założenia'!N157</x:f>
        <x:v>5</x:v>
      </x:c>
      <x:c r="O86" s="38" t="n">
        <x:f>'Założenia'!O157</x:f>
        <x:v>5</x:v>
      </x:c>
      <x:c r="P86" s="38" t="n">
        <x:f>'Założenia'!P157</x:f>
        <x:v>5</x:v>
      </x:c>
      <x:c r="Q86" s="38" t="n">
        <x:f>'Założenia'!Q157</x:f>
        <x:v>5</x:v>
      </x:c>
      <x:c r="R86" s="38" t="n">
        <x:f>'Założenia'!R157</x:f>
        <x:v>5</x:v>
      </x:c>
      <x:c r="S86" s="38" t="n">
        <x:f>'Założenia'!S157</x:f>
        <x:v>5</x:v>
      </x:c>
    </x:row>
    <x:row r="87" ht="20" customHeight="1">
      <x:c r="A87" s="3"/>
      <x:c r="B87" s="3"/>
      <x:c r="C87" s="3" t="str">
        <x:v>D&amp;A aktywów początkowych</x:v>
      </x:c>
      <x:c r="D87" s="38" t="n">
        <x:f>'Założenia'!$D$207/'Założenia'!$E$207*MAX(0,MIN(D$6,'Założenia'!$E$207)-MAX(D$3,0))</x:f>
        <x:v>3597.933333333333</x:v>
      </x:c>
      <x:c r="E87" s="38" t="n">
        <x:f>'Założenia'!$D$207/'Założenia'!$E$207*MAX(0,MIN(E$6,'Założenia'!$E$207)-MAX(E$3,0))</x:f>
        <x:v>14391.733333333332</x:v>
      </x:c>
      <x:c r="F87" s="38" t="n">
        <x:f>'Założenia'!$D$207/'Założenia'!$E$207*MAX(0,MIN(F$6,'Założenia'!$E$207)-MAX(F$3,0))</x:f>
        <x:v>14391.733333333332</x:v>
      </x:c>
      <x:c r="G87" s="38" t="n">
        <x:f>'Założenia'!$D$207/'Założenia'!$E$207*MAX(0,MIN(G$6,'Założenia'!$E$207)-MAX(G$3,0))</x:f>
        <x:v>10793.8</x:v>
      </x:c>
      <x:c r="H87" s="38" t="n">
        <x:f>'Założenia'!$D$207/'Założenia'!$E$207*MAX(0,MIN(H$6,'Założenia'!$E$207)-MAX(H$3,0))</x:f>
        <x:v>0</x:v>
      </x:c>
      <x:c r="I87" s="38" t="n">
        <x:f>'Założenia'!$D$207/'Założenia'!$E$207*MAX(0,MIN(I$6,'Założenia'!$E$207)-MAX(I$3,0))</x:f>
        <x:v>0</x:v>
      </x:c>
      <x:c r="J87" s="38" t="n">
        <x:f>'Założenia'!$D$207/'Założenia'!$E$207*MAX(0,MIN(J$6,'Założenia'!$E$207)-MAX(J$3,0))</x:f>
        <x:v>0</x:v>
      </x:c>
      <x:c r="K87" s="38" t="n">
        <x:f>'Założenia'!$D$207/'Założenia'!$E$207*MAX(0,MIN(K$6,'Założenia'!$E$207)-MAX(K$3,0))</x:f>
        <x:v>0</x:v>
      </x:c>
      <x:c r="L87" s="38" t="n">
        <x:f>'Założenia'!$D$207/'Założenia'!$E$207*MAX(0,MIN(L$6,'Założenia'!$E$207)-MAX(L$3,0))</x:f>
        <x:v>0</x:v>
      </x:c>
      <x:c r="M87" s="38" t="n">
        <x:f>'Założenia'!$D$207/'Założenia'!$E$207*MAX(0,MIN(M$6,'Założenia'!$E$207)-MAX(M$3,0))</x:f>
        <x:v>0</x:v>
      </x:c>
      <x:c r="N87" s="38" t="n">
        <x:f>'Założenia'!$D$207/'Założenia'!$E$207*MAX(0,MIN(N$6,'Założenia'!$E$207)-MAX(N$3,0))</x:f>
        <x:v>0</x:v>
      </x:c>
      <x:c r="O87" s="38" t="n">
        <x:f>'Założenia'!$D$207/'Założenia'!$E$207*MAX(0,MIN(O$6,'Założenia'!$E$207)-MAX(O$3,0))</x:f>
        <x:v>0</x:v>
      </x:c>
      <x:c r="P87" s="38" t="n">
        <x:f>'Założenia'!$D$207/'Założenia'!$E$207*MAX(0,MIN(P$6,'Założenia'!$E$207)-MAX(P$3,0))</x:f>
        <x:v>0</x:v>
      </x:c>
      <x:c r="Q87" s="38" t="n">
        <x:f>'Założenia'!$D$207/'Założenia'!$E$207*MAX(0,MIN(Q$6,'Założenia'!$E$207)-MAX(Q$3,0))</x:f>
        <x:v>0</x:v>
      </x:c>
      <x:c r="R87" s="38" t="n">
        <x:f>'Założenia'!$D$207/'Założenia'!$E$207*MAX(0,MIN(R$6,'Założenia'!$E$207)-MAX(R$3,0))</x:f>
        <x:v>0</x:v>
      </x:c>
      <x:c r="S87" s="38" t="n">
        <x:f>'Założenia'!$D$207/'Założenia'!$E$207*MAX(0,MIN(S$6,'Założenia'!$E$207)-MAX(S$3,0))</x:f>
        <x:v>0</x:v>
      </x:c>
    </x:row>
    <x:row r="88" ht="20" customHeight="1">
      <x:c r="A88" s="3"/>
      <x:c r="B88" s="3"/>
      <x:c r="C88" s="3" t="str">
        <x:v>D&amp;A nakładów Q4:26E</x:v>
      </x:c>
      <x:c r="D88" s="40" t="n">
        <x:f>D85/D86*MAX(0,MIN(D$6,(D$3+D$6)/2+D86)-MAX(D$3,(D$3+D$6)/2))</x:f>
        <x:v>523.35</x:v>
      </x:c>
      <x:c r="E88" s="40" t="n">
        <x:f>D85/D86*MAX(0,MIN(E$6,(D$3+D$6)/2+D86)-MAX(E$3,(D$3+D$6)/2))</x:f>
        <x:v>4186.8</x:v>
      </x:c>
      <x:c r="F88" s="40" t="n">
        <x:f>D85/D86*MAX(0,MIN(F$6,(D$3+D$6)/2+D86)-MAX(F$3,(D$3+D$6)/2))</x:f>
        <x:v>4186.8</x:v>
      </x:c>
      <x:c r="G88" s="40" t="n">
        <x:f>D85/D86*MAX(0,MIN(G$6,(D$3+D$6)/2+D86)-MAX(G$3,(D$3+D$6)/2))</x:f>
        <x:v>4186.8</x:v>
      </x:c>
      <x:c r="H88" s="40" t="n">
        <x:f>D85/D86*MAX(0,MIN(H$6,(D$3+D$6)/2+D86)-MAX(H$3,(D$3+D$6)/2))</x:f>
        <x:v>4186.8</x:v>
      </x:c>
      <x:c r="I88" s="40" t="n">
        <x:f>D85/D86*MAX(0,MIN(I$6,(D$3+D$6)/2+D86)-MAX(I$3,(D$3+D$6)/2))</x:f>
        <x:v>3663.4500000000003</x:v>
      </x:c>
      <x:c r="J88" s="40" t="n">
        <x:f>D85/D86*MAX(0,MIN(J$6,(D$3+D$6)/2+D86)-MAX(J$3,(D$3+D$6)/2))</x:f>
        <x:v>0</x:v>
      </x:c>
      <x:c r="K88" s="40" t="n">
        <x:f>D85/D86*MAX(0,MIN(K$6,(D$3+D$6)/2+D86)-MAX(K$3,(D$3+D$6)/2))</x:f>
        <x:v>0</x:v>
      </x:c>
      <x:c r="L88" s="40" t="n">
        <x:f>D85/D86*MAX(0,MIN(L$6,(D$3+D$6)/2+D86)-MAX(L$3,(D$3+D$6)/2))</x:f>
        <x:v>0</x:v>
      </x:c>
      <x:c r="M88" s="40" t="n">
        <x:f>D85/D86*MAX(0,MIN(M$6,(D$3+D$6)/2+D86)-MAX(M$3,(D$3+D$6)/2))</x:f>
        <x:v>0</x:v>
      </x:c>
      <x:c r="N88" s="40" t="n">
        <x:f>D85/D86*MAX(0,MIN(N$6,(D$3+D$6)/2+D86)-MAX(N$3,(D$3+D$6)/2))</x:f>
        <x:v>0</x:v>
      </x:c>
      <x:c r="O88" s="40" t="n">
        <x:f>D85/D86*MAX(0,MIN(O$6,(D$3+D$6)/2+D86)-MAX(O$3,(D$3+D$6)/2))</x:f>
        <x:v>0</x:v>
      </x:c>
      <x:c r="P88" s="40" t="n">
        <x:f>D85/D86*MAX(0,MIN(P$6,(D$3+D$6)/2+D86)-MAX(P$3,(D$3+D$6)/2))</x:f>
        <x:v>0</x:v>
      </x:c>
      <x:c r="Q88" s="40" t="n">
        <x:f>D85/D86*MAX(0,MIN(Q$6,(D$3+D$6)/2+D86)-MAX(Q$3,(D$3+D$6)/2))</x:f>
        <x:v>0</x:v>
      </x:c>
      <x:c r="R88" s="40" t="n">
        <x:f>D85/D86*MAX(0,MIN(R$6,(D$3+D$6)/2+D86)-MAX(R$3,(D$3+D$6)/2))</x:f>
        <x:v>0</x:v>
      </x:c>
      <x:c r="S88" s="40" t="n">
        <x:f>D85/D86*MAX(0,MIN(S$6,(D$3+D$6)/2+D86)-MAX(S$3,(D$3+D$6)/2))</x:f>
        <x:v>0</x:v>
      </x:c>
    </x:row>
    <x:row r="89" ht="20" customHeight="1">
      <x:c r="A89" s="3"/>
      <x:c r="B89" s="3"/>
      <x:c r="C89" s="3" t="str">
        <x:v>D&amp;A nakładów 2027E</x:v>
      </x:c>
      <x:c r="D89" s="40" t="n">
        <x:f>0</x:f>
        <x:v>0</x:v>
      </x:c>
      <x:c r="E89" s="40" t="n">
        <x:f>E85/E86*MAX(0,MIN(E$6,(E$3+E$6)/2+E86)-MAX(E$3,(E$3+E$6)/2))</x:f>
        <x:v>4139.444632793008</x:v>
      </x:c>
      <x:c r="F89" s="40" t="n">
        <x:f>E85/E86*MAX(0,MIN(F$6,(E$3+E$6)/2+E86)-MAX(F$3,(E$3+E$6)/2))</x:f>
        <x:v>8278.889265586016</x:v>
      </x:c>
      <x:c r="G89" s="40" t="n">
        <x:f>E85/E86*MAX(0,MIN(G$6,(E$3+E$6)/2+E86)-MAX(G$3,(E$3+E$6)/2))</x:f>
        <x:v>8278.889265586016</x:v>
      </x:c>
      <x:c r="H89" s="40" t="n">
        <x:f>E85/E86*MAX(0,MIN(H$6,(E$3+E$6)/2+E86)-MAX(H$3,(E$3+E$6)/2))</x:f>
        <x:v>8278.889265586016</x:v>
      </x:c>
      <x:c r="I89" s="40" t="n">
        <x:f>E85/E86*MAX(0,MIN(I$6,(E$3+E$6)/2+E86)-MAX(I$3,(E$3+E$6)/2))</x:f>
        <x:v>8278.889265586016</x:v>
      </x:c>
      <x:c r="J89" s="40" t="n">
        <x:f>E85/E86*MAX(0,MIN(J$6,(E$3+E$6)/2+E86)-MAX(J$3,(E$3+E$6)/2))</x:f>
        <x:v>4139.444632793008</x:v>
      </x:c>
      <x:c r="K89" s="40" t="n">
        <x:f>E85/E86*MAX(0,MIN(K$6,(E$3+E$6)/2+E86)-MAX(K$3,(E$3+E$6)/2))</x:f>
        <x:v>0</x:v>
      </x:c>
      <x:c r="L89" s="40" t="n">
        <x:f>E85/E86*MAX(0,MIN(L$6,(E$3+E$6)/2+E86)-MAX(L$3,(E$3+E$6)/2))</x:f>
        <x:v>0</x:v>
      </x:c>
      <x:c r="M89" s="40" t="n">
        <x:f>E85/E86*MAX(0,MIN(M$6,(E$3+E$6)/2+E86)-MAX(M$3,(E$3+E$6)/2))</x:f>
        <x:v>0</x:v>
      </x:c>
      <x:c r="N89" s="40" t="n">
        <x:f>E85/E86*MAX(0,MIN(N$6,(E$3+E$6)/2+E86)-MAX(N$3,(E$3+E$6)/2))</x:f>
        <x:v>0</x:v>
      </x:c>
      <x:c r="O89" s="40" t="n">
        <x:f>E85/E86*MAX(0,MIN(O$6,(E$3+E$6)/2+E86)-MAX(O$3,(E$3+E$6)/2))</x:f>
        <x:v>0</x:v>
      </x:c>
      <x:c r="P89" s="40" t="n">
        <x:f>E85/E86*MAX(0,MIN(P$6,(E$3+E$6)/2+E86)-MAX(P$3,(E$3+E$6)/2))</x:f>
        <x:v>0</x:v>
      </x:c>
      <x:c r="Q89" s="40" t="n">
        <x:f>E85/E86*MAX(0,MIN(Q$6,(E$3+E$6)/2+E86)-MAX(Q$3,(E$3+E$6)/2))</x:f>
        <x:v>0</x:v>
      </x:c>
      <x:c r="R89" s="40" t="n">
        <x:f>E85/E86*MAX(0,MIN(R$6,(E$3+E$6)/2+E86)-MAX(R$3,(E$3+E$6)/2))</x:f>
        <x:v>0</x:v>
      </x:c>
      <x:c r="S89" s="40" t="n">
        <x:f>E85/E86*MAX(0,MIN(S$6,(E$3+E$6)/2+E86)-MAX(S$3,(E$3+E$6)/2))</x:f>
        <x:v>0</x:v>
      </x:c>
    </x:row>
    <x:row r="90" ht="20" customHeight="1">
      <x:c r="A90" s="3"/>
      <x:c r="B90" s="3"/>
      <x:c r="C90" s="3" t="str">
        <x:v>D&amp;A nakładów 2028E</x:v>
      </x:c>
      <x:c r="D90" s="40" t="n">
        <x:f>0</x:f>
        <x:v>0</x:v>
      </x:c>
      <x:c r="E90" s="40" t="n">
        <x:f>0</x:f>
        <x:v>0</x:v>
      </x:c>
      <x:c r="F90" s="40" t="n">
        <x:f>F85/F86*MAX(0,MIN(F$6,(F$3+F$6)/2+F86)-MAX(F$3,(F$3+F$6)/2))</x:f>
        <x:v>6202.256346442001</x:v>
      </x:c>
      <x:c r="G90" s="40" t="n">
        <x:f>F85/F86*MAX(0,MIN(G$6,(F$3+F$6)/2+F86)-MAX(G$3,(F$3+F$6)/2))</x:f>
        <x:v>12404.512692884002</x:v>
      </x:c>
      <x:c r="H90" s="40" t="n">
        <x:f>F85/F86*MAX(0,MIN(H$6,(F$3+F$6)/2+F86)-MAX(H$3,(F$3+F$6)/2))</x:f>
        <x:v>12404.512692884002</x:v>
      </x:c>
      <x:c r="I90" s="40" t="n">
        <x:f>F85/F86*MAX(0,MIN(I$6,(F$3+F$6)/2+F86)-MAX(I$3,(F$3+F$6)/2))</x:f>
        <x:v>12404.512692884002</x:v>
      </x:c>
      <x:c r="J90" s="40" t="n">
        <x:f>F85/F86*MAX(0,MIN(J$6,(F$3+F$6)/2+F86)-MAX(J$3,(F$3+F$6)/2))</x:f>
        <x:v>12404.512692884002</x:v>
      </x:c>
      <x:c r="K90" s="40" t="n">
        <x:f>F85/F86*MAX(0,MIN(K$6,(F$3+F$6)/2+F86)-MAX(K$3,(F$3+F$6)/2))</x:f>
        <x:v>6202.256346442001</x:v>
      </x:c>
      <x:c r="L90" s="40" t="n">
        <x:f>F85/F86*MAX(0,MIN(L$6,(F$3+F$6)/2+F86)-MAX(L$3,(F$3+F$6)/2))</x:f>
        <x:v>0</x:v>
      </x:c>
      <x:c r="M90" s="40" t="n">
        <x:f>F85/F86*MAX(0,MIN(M$6,(F$3+F$6)/2+F86)-MAX(M$3,(F$3+F$6)/2))</x:f>
        <x:v>0</x:v>
      </x:c>
      <x:c r="N90" s="40" t="n">
        <x:f>F85/F86*MAX(0,MIN(N$6,(F$3+F$6)/2+F86)-MAX(N$3,(F$3+F$6)/2))</x:f>
        <x:v>0</x:v>
      </x:c>
      <x:c r="O90" s="40" t="n">
        <x:f>F85/F86*MAX(0,MIN(O$6,(F$3+F$6)/2+F86)-MAX(O$3,(F$3+F$6)/2))</x:f>
        <x:v>0</x:v>
      </x:c>
      <x:c r="P90" s="40" t="n">
        <x:f>F85/F86*MAX(0,MIN(P$6,(F$3+F$6)/2+F86)-MAX(P$3,(F$3+F$6)/2))</x:f>
        <x:v>0</x:v>
      </x:c>
      <x:c r="Q90" s="40" t="n">
        <x:f>F85/F86*MAX(0,MIN(Q$6,(F$3+F$6)/2+F86)-MAX(Q$3,(F$3+F$6)/2))</x:f>
        <x:v>0</x:v>
      </x:c>
      <x:c r="R90" s="40" t="n">
        <x:f>F85/F86*MAX(0,MIN(R$6,(F$3+F$6)/2+F86)-MAX(R$3,(F$3+F$6)/2))</x:f>
        <x:v>0</x:v>
      </x:c>
      <x:c r="S90" s="40" t="n">
        <x:f>F85/F86*MAX(0,MIN(S$6,(F$3+F$6)/2+F86)-MAX(S$3,(F$3+F$6)/2))</x:f>
        <x:v>0</x:v>
      </x:c>
    </x:row>
    <x:row r="91" ht="20" customHeight="1">
      <x:c r="A91" s="3"/>
      <x:c r="B91" s="3"/>
      <x:c r="C91" s="3" t="str">
        <x:v>D&amp;A nakładów 2029E</x:v>
      </x:c>
      <x:c r="D91" s="40" t="n">
        <x:f>0</x:f>
        <x:v>0</x:v>
      </x:c>
      <x:c r="E91" s="40" t="n">
        <x:f>0</x:f>
        <x:v>0</x:v>
      </x:c>
      <x:c r="F91" s="40" t="n">
        <x:f>0</x:f>
        <x:v>0</x:v>
      </x:c>
      <x:c r="G91" s="40" t="n">
        <x:f>G85/G86*MAX(0,MIN(G$6,(G$3+G$6)/2+G86)-MAX(G$3,(G$3+G$6)/2))</x:f>
        <x:v>9293.030152459018</x:v>
      </x:c>
      <x:c r="H91" s="40" t="n">
        <x:f>G85/G86*MAX(0,MIN(H$6,(G$3+G$6)/2+G86)-MAX(H$3,(G$3+G$6)/2))</x:f>
        <x:v>18586.060304918035</x:v>
      </x:c>
      <x:c r="I91" s="40" t="n">
        <x:f>G85/G86*MAX(0,MIN(I$6,(G$3+G$6)/2+G86)-MAX(I$3,(G$3+G$6)/2))</x:f>
        <x:v>18586.060304918035</x:v>
      </x:c>
      <x:c r="J91" s="40" t="n">
        <x:f>G85/G86*MAX(0,MIN(J$6,(G$3+G$6)/2+G86)-MAX(J$3,(G$3+G$6)/2))</x:f>
        <x:v>18586.060304918035</x:v>
      </x:c>
      <x:c r="K91" s="40" t="n">
        <x:f>G85/G86*MAX(0,MIN(K$6,(G$3+G$6)/2+G86)-MAX(K$3,(G$3+G$6)/2))</x:f>
        <x:v>18586.060304918035</x:v>
      </x:c>
      <x:c r="L91" s="40" t="n">
        <x:f>G85/G86*MAX(0,MIN(L$6,(G$3+G$6)/2+G86)-MAX(L$3,(G$3+G$6)/2))</x:f>
        <x:v>9293.030152459018</x:v>
      </x:c>
      <x:c r="M91" s="40" t="n">
        <x:f>G85/G86*MAX(0,MIN(M$6,(G$3+G$6)/2+G86)-MAX(M$3,(G$3+G$6)/2))</x:f>
        <x:v>0</x:v>
      </x:c>
      <x:c r="N91" s="40" t="n">
        <x:f>G85/G86*MAX(0,MIN(N$6,(G$3+G$6)/2+G86)-MAX(N$3,(G$3+G$6)/2))</x:f>
        <x:v>0</x:v>
      </x:c>
      <x:c r="O91" s="40" t="n">
        <x:f>G85/G86*MAX(0,MIN(O$6,(G$3+G$6)/2+G86)-MAX(O$3,(G$3+G$6)/2))</x:f>
        <x:v>0</x:v>
      </x:c>
      <x:c r="P91" s="40" t="n">
        <x:f>G85/G86*MAX(0,MIN(P$6,(G$3+G$6)/2+G86)-MAX(P$3,(G$3+G$6)/2))</x:f>
        <x:v>0</x:v>
      </x:c>
      <x:c r="Q91" s="40" t="n">
        <x:f>G85/G86*MAX(0,MIN(Q$6,(G$3+G$6)/2+G86)-MAX(Q$3,(G$3+G$6)/2))</x:f>
        <x:v>0</x:v>
      </x:c>
      <x:c r="R91" s="40" t="n">
        <x:f>G85/G86*MAX(0,MIN(R$6,(G$3+G$6)/2+G86)-MAX(R$3,(G$3+G$6)/2))</x:f>
        <x:v>0</x:v>
      </x:c>
      <x:c r="S91" s="40" t="n">
        <x:f>G85/G86*MAX(0,MIN(S$6,(G$3+G$6)/2+G86)-MAX(S$3,(G$3+G$6)/2))</x:f>
        <x:v>0</x:v>
      </x:c>
    </x:row>
    <x:row r="92" ht="20" customHeight="1">
      <x:c r="A92" s="3"/>
      <x:c r="B92" s="3"/>
      <x:c r="C92" s="3" t="str">
        <x:v>D&amp;A nakładów 2030E</x:v>
      </x:c>
      <x:c r="D92" s="40" t="n">
        <x:f>0</x:f>
        <x:v>0</x:v>
      </x:c>
      <x:c r="E92" s="40" t="n">
        <x:f>0</x:f>
        <x:v>0</x:v>
      </x:c>
      <x:c r="F92" s="40" t="n">
        <x:f>0</x:f>
        <x:v>0</x:v>
      </x:c>
      <x:c r="G92" s="40" t="n">
        <x:f>0</x:f>
        <x:v>0</x:v>
      </x:c>
      <x:c r="H92" s="40" t="n">
        <x:f>H85/H86*MAX(0,MIN(H$6,(H$3+H$6)/2+H86)-MAX(H$3,(H$3+H$6)/2))</x:f>
        <x:v>13924.030963998162</x:v>
      </x:c>
      <x:c r="I92" s="40" t="n">
        <x:f>H85/H86*MAX(0,MIN(I$6,(H$3+H$6)/2+H86)-MAX(I$3,(H$3+H$6)/2))</x:f>
        <x:v>27848.061927996325</x:v>
      </x:c>
      <x:c r="J92" s="40" t="n">
        <x:f>H85/H86*MAX(0,MIN(J$6,(H$3+H$6)/2+H86)-MAX(J$3,(H$3+H$6)/2))</x:f>
        <x:v>27848.061927996325</x:v>
      </x:c>
      <x:c r="K92" s="40" t="n">
        <x:f>H85/H86*MAX(0,MIN(K$6,(H$3+H$6)/2+H86)-MAX(K$3,(H$3+H$6)/2))</x:f>
        <x:v>27848.061927996325</x:v>
      </x:c>
      <x:c r="L92" s="40" t="n">
        <x:f>H85/H86*MAX(0,MIN(L$6,(H$3+H$6)/2+H86)-MAX(L$3,(H$3+H$6)/2))</x:f>
        <x:v>27848.061927996325</x:v>
      </x:c>
      <x:c r="M92" s="40" t="n">
        <x:f>H85/H86*MAX(0,MIN(M$6,(H$3+H$6)/2+H86)-MAX(M$3,(H$3+H$6)/2))</x:f>
        <x:v>13924.030963998162</x:v>
      </x:c>
      <x:c r="N92" s="40" t="n">
        <x:f>H85/H86*MAX(0,MIN(N$6,(H$3+H$6)/2+H86)-MAX(N$3,(H$3+H$6)/2))</x:f>
        <x:v>0</x:v>
      </x:c>
      <x:c r="O92" s="40" t="n">
        <x:f>H85/H86*MAX(0,MIN(O$6,(H$3+H$6)/2+H86)-MAX(O$3,(H$3+H$6)/2))</x:f>
        <x:v>0</x:v>
      </x:c>
      <x:c r="P92" s="40" t="n">
        <x:f>H85/H86*MAX(0,MIN(P$6,(H$3+H$6)/2+H86)-MAX(P$3,(H$3+H$6)/2))</x:f>
        <x:v>0</x:v>
      </x:c>
      <x:c r="Q92" s="40" t="n">
        <x:f>H85/H86*MAX(0,MIN(Q$6,(H$3+H$6)/2+H86)-MAX(Q$3,(H$3+H$6)/2))</x:f>
        <x:v>0</x:v>
      </x:c>
      <x:c r="R92" s="40" t="n">
        <x:f>H85/H86*MAX(0,MIN(R$6,(H$3+H$6)/2+H86)-MAX(R$3,(H$3+H$6)/2))</x:f>
        <x:v>0</x:v>
      </x:c>
      <x:c r="S92" s="40" t="n">
        <x:f>H85/H86*MAX(0,MIN(S$6,(H$3+H$6)/2+H86)-MAX(S$3,(H$3+H$6)/2))</x:f>
        <x:v>0</x:v>
      </x:c>
    </x:row>
    <x:row r="93" ht="20" customHeight="1">
      <x:c r="A93" s="3"/>
      <x:c r="B93" s="3"/>
      <x:c r="C93" s="3" t="str">
        <x:v>D&amp;A nakładów 2031E</x:v>
      </x:c>
      <x:c r="D93" s="40" t="n">
        <x:f>0</x:f>
        <x:v>0</x:v>
      </x:c>
      <x:c r="E93" s="40" t="n">
        <x:f>0</x:f>
        <x:v>0</x:v>
      </x:c>
      <x:c r="F93" s="40" t="n">
        <x:f>0</x:f>
        <x:v>0</x:v>
      </x:c>
      <x:c r="G93" s="40" t="n">
        <x:f>0</x:f>
        <x:v>0</x:v>
      </x:c>
      <x:c r="H93" s="40" t="n">
        <x:f>0</x:f>
        <x:v>0</x:v>
      </x:c>
      <x:c r="I93" s="40" t="n">
        <x:f>I85/I86*MAX(0,MIN(I$6,(I$3+I$6)/2+I86)-MAX(I$3,(I$3+I$6)/2))</x:f>
        <x:v>8838.355882672866</x:v>
      </x:c>
      <x:c r="J93" s="40" t="n">
        <x:f>I85/I86*MAX(0,MIN(J$6,(I$3+I$6)/2+I86)-MAX(J$3,(I$3+I$6)/2))</x:f>
        <x:v>17676.71176534573</x:v>
      </x:c>
      <x:c r="K93" s="40" t="n">
        <x:f>I85/I86*MAX(0,MIN(K$6,(I$3+I$6)/2+I86)-MAX(K$3,(I$3+I$6)/2))</x:f>
        <x:v>17676.71176534573</x:v>
      </x:c>
      <x:c r="L93" s="40" t="n">
        <x:f>I85/I86*MAX(0,MIN(L$6,(I$3+I$6)/2+I86)-MAX(L$3,(I$3+I$6)/2))</x:f>
        <x:v>17676.71176534573</x:v>
      </x:c>
      <x:c r="M93" s="40" t="n">
        <x:f>I85/I86*MAX(0,MIN(M$6,(I$3+I$6)/2+I86)-MAX(M$3,(I$3+I$6)/2))</x:f>
        <x:v>17676.71176534573</x:v>
      </x:c>
      <x:c r="N93" s="40" t="n">
        <x:f>I85/I86*MAX(0,MIN(N$6,(I$3+I$6)/2+I86)-MAX(N$3,(I$3+I$6)/2))</x:f>
        <x:v>8838.355882672866</x:v>
      </x:c>
      <x:c r="O93" s="40" t="n">
        <x:f>I85/I86*MAX(0,MIN(O$6,(I$3+I$6)/2+I86)-MAX(O$3,(I$3+I$6)/2))</x:f>
        <x:v>0</x:v>
      </x:c>
      <x:c r="P93" s="40" t="n">
        <x:f>I85/I86*MAX(0,MIN(P$6,(I$3+I$6)/2+I86)-MAX(P$3,(I$3+I$6)/2))</x:f>
        <x:v>0</x:v>
      </x:c>
      <x:c r="Q93" s="40" t="n">
        <x:f>I85/I86*MAX(0,MIN(Q$6,(I$3+I$6)/2+I86)-MAX(Q$3,(I$3+I$6)/2))</x:f>
        <x:v>0</x:v>
      </x:c>
      <x:c r="R93" s="40" t="n">
        <x:f>I85/I86*MAX(0,MIN(R$6,(I$3+I$6)/2+I86)-MAX(R$3,(I$3+I$6)/2))</x:f>
        <x:v>0</x:v>
      </x:c>
      <x:c r="S93" s="40" t="n">
        <x:f>I85/I86*MAX(0,MIN(S$6,(I$3+I$6)/2+I86)-MAX(S$3,(I$3+I$6)/2))</x:f>
        <x:v>0</x:v>
      </x:c>
    </x:row>
    <x:row r="94" ht="20" customHeight="1">
      <x:c r="A94" s="3"/>
      <x:c r="B94" s="3"/>
      <x:c r="C94" s="3" t="str">
        <x:v>D&amp;A nakładów 2032E</x:v>
      </x:c>
      <x:c r="D94" s="40" t="n">
        <x:f>0</x:f>
        <x:v>0</x:v>
      </x:c>
      <x:c r="E94" s="40" t="n">
        <x:f>0</x:f>
        <x:v>0</x:v>
      </x:c>
      <x:c r="F94" s="40" t="n">
        <x:f>0</x:f>
        <x:v>0</x:v>
      </x:c>
      <x:c r="G94" s="40" t="n">
        <x:f>0</x:f>
        <x:v>0</x:v>
      </x:c>
      <x:c r="H94" s="40" t="n">
        <x:f>0</x:f>
        <x:v>0</x:v>
      </x:c>
      <x:c r="I94" s="40" t="n">
        <x:f>0</x:f>
        <x:v>0</x:v>
      </x:c>
      <x:c r="J94" s="40" t="n">
        <x:f>J85/J86*MAX(0,MIN(J$6,(J$3+J$6)/2+J86)-MAX(J$3,(J$3+J$6)/2))</x:f>
        <x:v>9687.536717784695</x:v>
      </x:c>
      <x:c r="K94" s="40" t="n">
        <x:f>J85/J86*MAX(0,MIN(K$6,(J$3+J$6)/2+J86)-MAX(K$3,(J$3+J$6)/2))</x:f>
        <x:v>19375.07343556939</x:v>
      </x:c>
      <x:c r="L94" s="40" t="n">
        <x:f>J85/J86*MAX(0,MIN(L$6,(J$3+J$6)/2+J86)-MAX(L$3,(J$3+J$6)/2))</x:f>
        <x:v>19375.07343556939</x:v>
      </x:c>
      <x:c r="M94" s="40" t="n">
        <x:f>J85/J86*MAX(0,MIN(M$6,(J$3+J$6)/2+J86)-MAX(M$3,(J$3+J$6)/2))</x:f>
        <x:v>19375.07343556939</x:v>
      </x:c>
      <x:c r="N94" s="40" t="n">
        <x:f>J85/J86*MAX(0,MIN(N$6,(J$3+J$6)/2+J86)-MAX(N$3,(J$3+J$6)/2))</x:f>
        <x:v>19375.07343556939</x:v>
      </x:c>
      <x:c r="O94" s="40" t="n">
        <x:f>J85/J86*MAX(0,MIN(O$6,(J$3+J$6)/2+J86)-MAX(O$3,(J$3+J$6)/2))</x:f>
        <x:v>9687.536717784695</x:v>
      </x:c>
      <x:c r="P94" s="40" t="n">
        <x:f>J85/J86*MAX(0,MIN(P$6,(J$3+J$6)/2+J86)-MAX(P$3,(J$3+J$6)/2))</x:f>
        <x:v>0</x:v>
      </x:c>
      <x:c r="Q94" s="40" t="n">
        <x:f>J85/J86*MAX(0,MIN(Q$6,(J$3+J$6)/2+J86)-MAX(Q$3,(J$3+J$6)/2))</x:f>
        <x:v>0</x:v>
      </x:c>
      <x:c r="R94" s="40" t="n">
        <x:f>J85/J86*MAX(0,MIN(R$6,(J$3+J$6)/2+J86)-MAX(R$3,(J$3+J$6)/2))</x:f>
        <x:v>0</x:v>
      </x:c>
      <x:c r="S94" s="40" t="n">
        <x:f>J85/J86*MAX(0,MIN(S$6,(J$3+J$6)/2+J86)-MAX(S$3,(J$3+J$6)/2))</x:f>
        <x:v>0</x:v>
      </x:c>
    </x:row>
    <x:row r="95" ht="20" customHeight="1">
      <x:c r="A95" s="3"/>
      <x:c r="B95" s="3"/>
      <x:c r="C95" s="3" t="str">
        <x:v>D&amp;A nakładów 2033E</x:v>
      </x:c>
      <x:c r="D95" s="40" t="n">
        <x:f>0</x:f>
        <x:v>0</x:v>
      </x:c>
      <x:c r="E95" s="40" t="n">
        <x:f>0</x:f>
        <x:v>0</x:v>
      </x:c>
      <x:c r="F95" s="40" t="n">
        <x:f>0</x:f>
        <x:v>0</x:v>
      </x:c>
      <x:c r="G95" s="40" t="n">
        <x:f>0</x:f>
        <x:v>0</x:v>
      </x:c>
      <x:c r="H95" s="40" t="n">
        <x:f>0</x:f>
        <x:v>0</x:v>
      </x:c>
      <x:c r="I95" s="40" t="n">
        <x:f>0</x:f>
        <x:v>0</x:v>
      </x:c>
      <x:c r="J95" s="40" t="n">
        <x:f>0</x:f>
        <x:v>0</x:v>
      </x:c>
      <x:c r="K95" s="40" t="n">
        <x:f>K85/K86*MAX(0,MIN(K$6,(K$3+K$6)/2+K86)-MAX(K$3,(K$3+K$6)/2))</x:f>
        <x:v>10618.306040653033</x:v>
      </x:c>
      <x:c r="L95" s="40" t="n">
        <x:f>K85/K86*MAX(0,MIN(L$6,(K$3+K$6)/2+K86)-MAX(L$3,(K$3+K$6)/2))</x:f>
        <x:v>21236.612081306066</x:v>
      </x:c>
      <x:c r="M95" s="40" t="n">
        <x:f>K85/K86*MAX(0,MIN(M$6,(K$3+K$6)/2+K86)-MAX(M$3,(K$3+K$6)/2))</x:f>
        <x:v>21236.612081306066</x:v>
      </x:c>
      <x:c r="N95" s="40" t="n">
        <x:f>K85/K86*MAX(0,MIN(N$6,(K$3+K$6)/2+K86)-MAX(N$3,(K$3+K$6)/2))</x:f>
        <x:v>21236.612081306066</x:v>
      </x:c>
      <x:c r="O95" s="40" t="n">
        <x:f>K85/K86*MAX(0,MIN(O$6,(K$3+K$6)/2+K86)-MAX(O$3,(K$3+K$6)/2))</x:f>
        <x:v>21236.612081306066</x:v>
      </x:c>
      <x:c r="P95" s="40" t="n">
        <x:f>K85/K86*MAX(0,MIN(P$6,(K$3+K$6)/2+K86)-MAX(P$3,(K$3+K$6)/2))</x:f>
        <x:v>10618.306040653033</x:v>
      </x:c>
      <x:c r="Q95" s="40" t="n">
        <x:f>K85/K86*MAX(0,MIN(Q$6,(K$3+K$6)/2+K86)-MAX(Q$3,(K$3+K$6)/2))</x:f>
        <x:v>0</x:v>
      </x:c>
      <x:c r="R95" s="40" t="n">
        <x:f>K85/K86*MAX(0,MIN(R$6,(K$3+K$6)/2+K86)-MAX(R$3,(K$3+K$6)/2))</x:f>
        <x:v>0</x:v>
      </x:c>
      <x:c r="S95" s="40" t="n">
        <x:f>K85/K86*MAX(0,MIN(S$6,(K$3+K$6)/2+K86)-MAX(S$3,(K$3+K$6)/2))</x:f>
        <x:v>0</x:v>
      </x:c>
    </x:row>
    <x:row r="96" ht="20" customHeight="1">
      <x:c r="A96" s="3"/>
      <x:c r="B96" s="3"/>
      <x:c r="C96" s="3" t="str">
        <x:v>D&amp;A nakładów 2034E</x:v>
      </x:c>
      <x:c r="D96" s="40" t="n">
        <x:f>0</x:f>
        <x:v>0</x:v>
      </x:c>
      <x:c r="E96" s="40" t="n">
        <x:f>0</x:f>
        <x:v>0</x:v>
      </x:c>
      <x:c r="F96" s="40" t="n">
        <x:f>0</x:f>
        <x:v>0</x:v>
      </x:c>
      <x:c r="G96" s="40" t="n">
        <x:f>0</x:f>
        <x:v>0</x:v>
      </x:c>
      <x:c r="H96" s="40" t="n">
        <x:f>0</x:f>
        <x:v>0</x:v>
      </x:c>
      <x:c r="I96" s="40" t="n">
        <x:f>0</x:f>
        <x:v>0</x:v>
      </x:c>
      <x:c r="J96" s="40" t="n">
        <x:f>0</x:f>
        <x:v>0</x:v>
      </x:c>
      <x:c r="K96" s="40" t="n">
        <x:f>0</x:f>
        <x:v>0</x:v>
      </x:c>
      <x:c r="L96" s="40" t="n">
        <x:f>L85/L86*MAX(0,MIN(L$6,(L$3+L$6)/2+L86)-MAX(L$3,(L$3+L$6)/2))</x:f>
        <x:v>11638.502795657172</x:v>
      </x:c>
      <x:c r="M96" s="40" t="n">
        <x:f>L85/L86*MAX(0,MIN(M$6,(L$3+L$6)/2+L86)-MAX(M$3,(L$3+L$6)/2))</x:f>
        <x:v>23277.005591314344</x:v>
      </x:c>
      <x:c r="N96" s="40" t="n">
        <x:f>L85/L86*MAX(0,MIN(N$6,(L$3+L$6)/2+L86)-MAX(N$3,(L$3+L$6)/2))</x:f>
        <x:v>23277.005591314344</x:v>
      </x:c>
      <x:c r="O96" s="40" t="n">
        <x:f>L85/L86*MAX(0,MIN(O$6,(L$3+L$6)/2+L86)-MAX(O$3,(L$3+L$6)/2))</x:f>
        <x:v>23277.005591314344</x:v>
      </x:c>
      <x:c r="P96" s="40" t="n">
        <x:f>L85/L86*MAX(0,MIN(P$6,(L$3+L$6)/2+L86)-MAX(P$3,(L$3+L$6)/2))</x:f>
        <x:v>23277.005591314344</x:v>
      </x:c>
      <x:c r="Q96" s="40" t="n">
        <x:f>L85/L86*MAX(0,MIN(Q$6,(L$3+L$6)/2+L86)-MAX(Q$3,(L$3+L$6)/2))</x:f>
        <x:v>11638.502795657172</x:v>
      </x:c>
      <x:c r="R96" s="40" t="n">
        <x:f>L85/L86*MAX(0,MIN(R$6,(L$3+L$6)/2+L86)-MAX(R$3,(L$3+L$6)/2))</x:f>
        <x:v>0</x:v>
      </x:c>
      <x:c r="S96" s="40" t="n">
        <x:f>L85/L86*MAX(0,MIN(S$6,(L$3+L$6)/2+L86)-MAX(S$3,(L$3+L$6)/2))</x:f>
        <x:v>0</x:v>
      </x:c>
    </x:row>
    <x:row r="97" ht="20" customHeight="1">
      <x:c r="A97" s="3"/>
      <x:c r="B97" s="3"/>
      <x:c r="C97" s="3" t="str">
        <x:v>D&amp;A nakładów 2035E</x:v>
      </x:c>
      <x:c r="D97" s="40" t="n">
        <x:f>0</x:f>
        <x:v>0</x:v>
      </x:c>
      <x:c r="E97" s="40" t="n">
        <x:f>0</x:f>
        <x:v>0</x:v>
      </x:c>
      <x:c r="F97" s="40" t="n">
        <x:f>0</x:f>
        <x:v>0</x:v>
      </x:c>
      <x:c r="G97" s="40" t="n">
        <x:f>0</x:f>
        <x:v>0</x:v>
      </x:c>
      <x:c r="H97" s="40" t="n">
        <x:f>0</x:f>
        <x:v>0</x:v>
      </x:c>
      <x:c r="I97" s="40" t="n">
        <x:f>0</x:f>
        <x:v>0</x:v>
      </x:c>
      <x:c r="J97" s="40" t="n">
        <x:f>0</x:f>
        <x:v>0</x:v>
      </x:c>
      <x:c r="K97" s="40" t="n">
        <x:f>0</x:f>
        <x:v>0</x:v>
      </x:c>
      <x:c r="L97" s="40" t="n">
        <x:f>0</x:f>
        <x:v>0</x:v>
      </x:c>
      <x:c r="M97" s="40" t="n">
        <x:f>M85/M86*MAX(0,MIN(M$6,(M$3+M$6)/2+M86)-MAX(M$3,(M$3+M$6)/2))</x:f>
        <x:v>12756.719085503904</x:v>
      </x:c>
      <x:c r="N97" s="40" t="n">
        <x:f>M85/M86*MAX(0,MIN(N$6,(M$3+M$6)/2+M86)-MAX(N$3,(M$3+M$6)/2))</x:f>
        <x:v>25513.43817100781</x:v>
      </x:c>
      <x:c r="O97" s="40" t="n">
        <x:f>M85/M86*MAX(0,MIN(O$6,(M$3+M$6)/2+M86)-MAX(O$3,(M$3+M$6)/2))</x:f>
        <x:v>25513.43817100781</x:v>
      </x:c>
      <x:c r="P97" s="40" t="n">
        <x:f>M85/M86*MAX(0,MIN(P$6,(M$3+M$6)/2+M86)-MAX(P$3,(M$3+M$6)/2))</x:f>
        <x:v>25513.43817100781</x:v>
      </x:c>
      <x:c r="Q97" s="40" t="n">
        <x:f>M85/M86*MAX(0,MIN(Q$6,(M$3+M$6)/2+M86)-MAX(Q$3,(M$3+M$6)/2))</x:f>
        <x:v>25513.43817100781</x:v>
      </x:c>
      <x:c r="R97" s="40" t="n">
        <x:f>M85/M86*MAX(0,MIN(R$6,(M$3+M$6)/2+M86)-MAX(R$3,(M$3+M$6)/2))</x:f>
        <x:v>12756.719085503904</x:v>
      </x:c>
      <x:c r="S97" s="40" t="n">
        <x:f>M85/M86*MAX(0,MIN(S$6,(M$3+M$6)/2+M86)-MAX(S$3,(M$3+M$6)/2))</x:f>
        <x:v>0</x:v>
      </x:c>
    </x:row>
    <x:row r="98" ht="20" customHeight="1">
      <x:c r="A98" s="3"/>
      <x:c r="B98" s="3"/>
      <x:c r="C98" s="3" t="str">
        <x:v>D&amp;A nakładów 2036E</x:v>
      </x:c>
      <x:c r="D98" s="40" t="n">
        <x:f>0</x:f>
        <x:v>0</x:v>
      </x:c>
      <x:c r="E98" s="40" t="n">
        <x:f>0</x:f>
        <x:v>0</x:v>
      </x:c>
      <x:c r="F98" s="40" t="n">
        <x:f>0</x:f>
        <x:v>0</x:v>
      </x:c>
      <x:c r="G98" s="40" t="n">
        <x:f>0</x:f>
        <x:v>0</x:v>
      </x:c>
      <x:c r="H98" s="40" t="n">
        <x:f>0</x:f>
        <x:v>0</x:v>
      </x:c>
      <x:c r="I98" s="40" t="n">
        <x:f>0</x:f>
        <x:v>0</x:v>
      </x:c>
      <x:c r="J98" s="40" t="n">
        <x:f>0</x:f>
        <x:v>0</x:v>
      </x:c>
      <x:c r="K98" s="40" t="n">
        <x:f>0</x:f>
        <x:v>0</x:v>
      </x:c>
      <x:c r="L98" s="40" t="n">
        <x:f>0</x:f>
        <x:v>0</x:v>
      </x:c>
      <x:c r="M98" s="40" t="n">
        <x:f>0</x:f>
        <x:v>0</x:v>
      </x:c>
      <x:c r="N98" s="40" t="n">
        <x:f>N85/N86*MAX(0,MIN(N$6,(N$3+N$6)/2+N86)-MAX(N$3,(N$3+N$6)/2))</x:f>
        <x:v>10319.37886912793</x:v>
      </x:c>
      <x:c r="O98" s="40" t="n">
        <x:f>N85/N86*MAX(0,MIN(O$6,(N$3+N$6)/2+N86)-MAX(O$3,(N$3+N$6)/2))</x:f>
        <x:v>20638.75773825586</x:v>
      </x:c>
      <x:c r="P98" s="40" t="n">
        <x:f>N85/N86*MAX(0,MIN(P$6,(N$3+N$6)/2+N86)-MAX(P$3,(N$3+N$6)/2))</x:f>
        <x:v>20638.75773825586</x:v>
      </x:c>
      <x:c r="Q98" s="40" t="n">
        <x:f>N85/N86*MAX(0,MIN(Q$6,(N$3+N$6)/2+N86)-MAX(Q$3,(N$3+N$6)/2))</x:f>
        <x:v>20638.75773825586</x:v>
      </x:c>
      <x:c r="R98" s="40" t="n">
        <x:f>N85/N86*MAX(0,MIN(R$6,(N$3+N$6)/2+N86)-MAX(R$3,(N$3+N$6)/2))</x:f>
        <x:v>20638.75773825586</x:v>
      </x:c>
      <x:c r="S98" s="40" t="n">
        <x:f>N85/N86*MAX(0,MIN(S$6,(N$3+N$6)/2+N86)-MAX(S$3,(N$3+N$6)/2))</x:f>
        <x:v>10319.37886912793</x:v>
      </x:c>
    </x:row>
    <x:row r="99" ht="20" customHeight="1">
      <x:c r="A99" s="3"/>
      <x:c r="B99" s="3"/>
      <x:c r="C99" s="3" t="str">
        <x:v>D&amp;A nakładów 2037E</x:v>
      </x:c>
      <x:c r="D99" s="40" t="n">
        <x:f>0</x:f>
        <x:v>0</x:v>
      </x:c>
      <x:c r="E99" s="40" t="n">
        <x:f>0</x:f>
        <x:v>0</x:v>
      </x:c>
      <x:c r="F99" s="40" t="n">
        <x:f>0</x:f>
        <x:v>0</x:v>
      </x:c>
      <x:c r="G99" s="40" t="n">
        <x:f>0</x:f>
        <x:v>0</x:v>
      </x:c>
      <x:c r="H99" s="40" t="n">
        <x:f>0</x:f>
        <x:v>0</x:v>
      </x:c>
      <x:c r="I99" s="40" t="n">
        <x:f>0</x:f>
        <x:v>0</x:v>
      </x:c>
      <x:c r="J99" s="40" t="n">
        <x:f>0</x:f>
        <x:v>0</x:v>
      </x:c>
      <x:c r="K99" s="40" t="n">
        <x:f>0</x:f>
        <x:v>0</x:v>
      </x:c>
      <x:c r="L99" s="40" t="n">
        <x:f>0</x:f>
        <x:v>0</x:v>
      </x:c>
      <x:c r="M99" s="40" t="n">
        <x:f>0</x:f>
        <x:v>0</x:v>
      </x:c>
      <x:c r="N99" s="40" t="n">
        <x:f>0</x:f>
        <x:v>0</x:v>
      </x:c>
      <x:c r="O99" s="40" t="n">
        <x:f>O85/O86*MAX(0,MIN(O$6,(O$3+O$6)/2+O86)-MAX(O$3,(O$3+O$6)/2))</x:f>
        <x:v>10593.830831434814</x:v>
      </x:c>
      <x:c r="P99" s="40" t="n">
        <x:f>O85/O86*MAX(0,MIN(P$6,(O$3+O$6)/2+O86)-MAX(P$3,(O$3+O$6)/2))</x:f>
        <x:v>21187.66166286963</x:v>
      </x:c>
      <x:c r="Q99" s="40" t="n">
        <x:f>O85/O86*MAX(0,MIN(Q$6,(O$3+O$6)/2+O86)-MAX(Q$3,(O$3+O$6)/2))</x:f>
        <x:v>21187.66166286963</x:v>
      </x:c>
      <x:c r="R99" s="40" t="n">
        <x:f>O85/O86*MAX(0,MIN(R$6,(O$3+O$6)/2+O86)-MAX(R$3,(O$3+O$6)/2))</x:f>
        <x:v>21187.66166286963</x:v>
      </x:c>
      <x:c r="S99" s="40" t="n">
        <x:f>O85/O86*MAX(0,MIN(S$6,(O$3+O$6)/2+O86)-MAX(S$3,(O$3+O$6)/2))</x:f>
        <x:v>21187.66166286963</x:v>
      </x:c>
    </x:row>
    <x:row r="100" ht="20" customHeight="1">
      <x:c r="A100" s="3"/>
      <x:c r="B100" s="3"/>
      <x:c r="C100" s="3" t="str">
        <x:v>D&amp;A nakładów 2038E</x:v>
      </x:c>
      <x:c r="D100" s="40" t="n">
        <x:f>0</x:f>
        <x:v>0</x:v>
      </x:c>
      <x:c r="E100" s="40" t="n">
        <x:f>0</x:f>
        <x:v>0</x:v>
      </x:c>
      <x:c r="F100" s="40" t="n">
        <x:f>0</x:f>
        <x:v>0</x:v>
      </x:c>
      <x:c r="G100" s="40" t="n">
        <x:f>0</x:f>
        <x:v>0</x:v>
      </x:c>
      <x:c r="H100" s="40" t="n">
        <x:f>0</x:f>
        <x:v>0</x:v>
      </x:c>
      <x:c r="I100" s="40" t="n">
        <x:f>0</x:f>
        <x:v>0</x:v>
      </x:c>
      <x:c r="J100" s="40" t="n">
        <x:f>0</x:f>
        <x:v>0</x:v>
      </x:c>
      <x:c r="K100" s="40" t="n">
        <x:f>0</x:f>
        <x:v>0</x:v>
      </x:c>
      <x:c r="L100" s="40" t="n">
        <x:f>0</x:f>
        <x:v>0</x:v>
      </x:c>
      <x:c r="M100" s="40" t="n">
        <x:f>0</x:f>
        <x:v>0</x:v>
      </x:c>
      <x:c r="N100" s="40" t="n">
        <x:f>0</x:f>
        <x:v>0</x:v>
      </x:c>
      <x:c r="O100" s="40" t="n">
        <x:f>0</x:f>
        <x:v>0</x:v>
      </x:c>
      <x:c r="P100" s="40" t="n">
        <x:f>P85/P86*MAX(0,MIN(P$6,(P$3+P$6)/2+P86)-MAX(P$3,(P$3+P$6)/2))</x:f>
        <x:v>10875.582058607282</x:v>
      </x:c>
      <x:c r="Q100" s="40" t="n">
        <x:f>P85/P86*MAX(0,MIN(Q$6,(P$3+P$6)/2+P86)-MAX(Q$3,(P$3+P$6)/2))</x:f>
        <x:v>21751.164117214565</x:v>
      </x:c>
      <x:c r="R100" s="40" t="n">
        <x:f>P85/P86*MAX(0,MIN(R$6,(P$3+P$6)/2+P86)-MAX(R$3,(P$3+P$6)/2))</x:f>
        <x:v>21751.164117214565</x:v>
      </x:c>
      <x:c r="S100" s="40" t="n">
        <x:f>P85/P86*MAX(0,MIN(S$6,(P$3+P$6)/2+P86)-MAX(S$3,(P$3+P$6)/2))</x:f>
        <x:v>21751.164117214565</x:v>
      </x:c>
    </x:row>
    <x:row r="101" ht="20" customHeight="1">
      <x:c r="A101" s="3"/>
      <x:c r="B101" s="3"/>
      <x:c r="C101" s="3" t="str">
        <x:v>D&amp;A nakładów 2039E</x:v>
      </x:c>
      <x:c r="D101" s="40" t="n">
        <x:f>0</x:f>
        <x:v>0</x:v>
      </x:c>
      <x:c r="E101" s="40" t="n">
        <x:f>0</x:f>
        <x:v>0</x:v>
      </x:c>
      <x:c r="F101" s="40" t="n">
        <x:f>0</x:f>
        <x:v>0</x:v>
      </x:c>
      <x:c r="G101" s="40" t="n">
        <x:f>0</x:f>
        <x:v>0</x:v>
      </x:c>
      <x:c r="H101" s="40" t="n">
        <x:f>0</x:f>
        <x:v>0</x:v>
      </x:c>
      <x:c r="I101" s="40" t="n">
        <x:f>0</x:f>
        <x:v>0</x:v>
      </x:c>
      <x:c r="J101" s="40" t="n">
        <x:f>0</x:f>
        <x:v>0</x:v>
      </x:c>
      <x:c r="K101" s="40" t="n">
        <x:f>0</x:f>
        <x:v>0</x:v>
      </x:c>
      <x:c r="L101" s="40" t="n">
        <x:f>0</x:f>
        <x:v>0</x:v>
      </x:c>
      <x:c r="M101" s="40" t="n">
        <x:f>0</x:f>
        <x:v>0</x:v>
      </x:c>
      <x:c r="N101" s="40" t="n">
        <x:f>0</x:f>
        <x:v>0</x:v>
      </x:c>
      <x:c r="O101" s="40" t="n">
        <x:f>0</x:f>
        <x:v>0</x:v>
      </x:c>
      <x:c r="P101" s="40" t="n">
        <x:f>0</x:f>
        <x:v>0</x:v>
      </x:c>
      <x:c r="Q101" s="40" t="n">
        <x:f>Q85/Q86*MAX(0,MIN(Q$6,(Q$3+Q$6)/2+Q86)-MAX(Q$3,(Q$3+Q$6)/2))</x:f>
        <x:v>11164.82668031062</x:v>
      </x:c>
      <x:c r="R101" s="40" t="n">
        <x:f>Q85/Q86*MAX(0,MIN(R$6,(Q$3+Q$6)/2+Q86)-MAX(R$3,(Q$3+Q$6)/2))</x:f>
        <x:v>22329.65336062124</x:v>
      </x:c>
      <x:c r="S101" s="40" t="n">
        <x:f>Q85/Q86*MAX(0,MIN(S$6,(Q$3+Q$6)/2+Q86)-MAX(S$3,(Q$3+Q$6)/2))</x:f>
        <x:v>22329.65336062124</x:v>
      </x:c>
    </x:row>
    <x:row r="102" ht="20" customHeight="1">
      <x:c r="A102" s="3"/>
      <x:c r="B102" s="3"/>
      <x:c r="C102" s="3" t="str">
        <x:v>D&amp;A nakładów 2040E</x:v>
      </x:c>
      <x:c r="D102" s="40" t="n">
        <x:f>0</x:f>
        <x:v>0</x:v>
      </x:c>
      <x:c r="E102" s="40" t="n">
        <x:f>0</x:f>
        <x:v>0</x:v>
      </x:c>
      <x:c r="F102" s="40" t="n">
        <x:f>0</x:f>
        <x:v>0</x:v>
      </x:c>
      <x:c r="G102" s="40" t="n">
        <x:f>0</x:f>
        <x:v>0</x:v>
      </x:c>
      <x:c r="H102" s="40" t="n">
        <x:f>0</x:f>
        <x:v>0</x:v>
      </x:c>
      <x:c r="I102" s="40" t="n">
        <x:f>0</x:f>
        <x:v>0</x:v>
      </x:c>
      <x:c r="J102" s="40" t="n">
        <x:f>0</x:f>
        <x:v>0</x:v>
      </x:c>
      <x:c r="K102" s="40" t="n">
        <x:f>0</x:f>
        <x:v>0</x:v>
      </x:c>
      <x:c r="L102" s="40" t="n">
        <x:f>0</x:f>
        <x:v>0</x:v>
      </x:c>
      <x:c r="M102" s="40" t="n">
        <x:f>0</x:f>
        <x:v>0</x:v>
      </x:c>
      <x:c r="N102" s="40" t="n">
        <x:f>0</x:f>
        <x:v>0</x:v>
      </x:c>
      <x:c r="O102" s="40" t="n">
        <x:f>0</x:f>
        <x:v>0</x:v>
      </x:c>
      <x:c r="P102" s="40" t="n">
        <x:f>0</x:f>
        <x:v>0</x:v>
      </x:c>
      <x:c r="Q102" s="40" t="n">
        <x:f>0</x:f>
        <x:v>0</x:v>
      </x:c>
      <x:c r="R102" s="40" t="n">
        <x:f>R85/R86*MAX(0,MIN(R$6,(R$3+R$6)/2+R86)-MAX(R$3,(R$3+R$6)/2))</x:f>
        <x:v>11461.763989240582</x:v>
      </x:c>
      <x:c r="S102" s="40" t="n">
        <x:f>R85/R86*MAX(0,MIN(S$6,(R$3+R$6)/2+R86)-MAX(S$3,(R$3+R$6)/2))</x:f>
        <x:v>22923.527978481165</x:v>
      </x:c>
    </x:row>
    <x:row r="103" ht="20" customHeight="1">
      <x:c r="A103" s="3"/>
      <x:c r="B103" s="3"/>
      <x:c r="C103" s="3" t="str">
        <x:v>D&amp;A nakładów 2041E</x:v>
      </x:c>
      <x:c r="D103" s="40" t="n">
        <x:f>0</x:f>
        <x:v>0</x:v>
      </x:c>
      <x:c r="E103" s="40" t="n">
        <x:f>0</x:f>
        <x:v>0</x:v>
      </x:c>
      <x:c r="F103" s="40" t="n">
        <x:f>0</x:f>
        <x:v>0</x:v>
      </x:c>
      <x:c r="G103" s="40" t="n">
        <x:f>0</x:f>
        <x:v>0</x:v>
      </x:c>
      <x:c r="H103" s="40" t="n">
        <x:f>0</x:f>
        <x:v>0</x:v>
      </x:c>
      <x:c r="I103" s="40" t="n">
        <x:f>0</x:f>
        <x:v>0</x:v>
      </x:c>
      <x:c r="J103" s="40" t="n">
        <x:f>0</x:f>
        <x:v>0</x:v>
      </x:c>
      <x:c r="K103" s="40" t="n">
        <x:f>0</x:f>
        <x:v>0</x:v>
      </x:c>
      <x:c r="L103" s="40" t="n">
        <x:f>0</x:f>
        <x:v>0</x:v>
      </x:c>
      <x:c r="M103" s="40" t="n">
        <x:f>0</x:f>
        <x:v>0</x:v>
      </x:c>
      <x:c r="N103" s="40" t="n">
        <x:f>0</x:f>
        <x:v>0</x:v>
      </x:c>
      <x:c r="O103" s="40" t="n">
        <x:f>0</x:f>
        <x:v>0</x:v>
      </x:c>
      <x:c r="P103" s="40" t="n">
        <x:f>0</x:f>
        <x:v>0</x:v>
      </x:c>
      <x:c r="Q103" s="40" t="n">
        <x:f>0</x:f>
        <x:v>0</x:v>
      </x:c>
      <x:c r="R103" s="40" t="n">
        <x:f>0</x:f>
        <x:v>0</x:v>
      </x:c>
      <x:c r="S103" s="40" t="n">
        <x:f>S85/S86*MAX(0,MIN(S$6,(S$3+S$6)/2+S86)-MAX(S$3,(S$3+S$6)/2))</x:f>
        <x:v>11766.598578438225</x:v>
      </x:c>
    </x:row>
    <x:row r="104" ht="23" customHeight="1">
      <x:c r="A104" s="3"/>
      <x:c r="B104" s="3"/>
      <x:c r="C104" s="45" t="str">
        <x:v>D&amp;A razem</x:v>
      </x:c>
      <x:c r="D104" s="46" t="n">
        <x:f>SUM(D87:D103)</x:f>
        <x:v>4121.283333333333</x:v>
      </x:c>
      <x:c r="E104" s="46" t="n">
        <x:f>SUM(E87:E103)</x:f>
        <x:v>22717.977966126342</x:v>
      </x:c>
      <x:c r="F104" s="46" t="n">
        <x:f>SUM(F87:F103)</x:f>
        <x:v>33059.67894536135</x:v>
      </x:c>
      <x:c r="G104" s="46" t="n">
        <x:f>SUM(G87:G103)</x:f>
        <x:v>44957.03211092904</x:v>
      </x:c>
      <x:c r="H104" s="46" t="n">
        <x:f>SUM(H87:H103)</x:f>
        <x:v>57380.29322738622</x:v>
      </x:c>
      <x:c r="I104" s="46" t="n">
        <x:f>SUM(I87:I103)</x:f>
        <x:v>79619.33007405724</x:v>
      </x:c>
      <x:c r="J104" s="46" t="n">
        <x:f>SUM(J87:J103)</x:f>
        <x:v>90342.32804172179</x:v>
      </x:c>
      <x:c r="K104" s="46" t="n">
        <x:f>SUM(K87:K103)</x:f>
        <x:v>100306.46982092451</x:v>
      </x:c>
      <x:c r="L104" s="46" t="n">
        <x:f>SUM(L87:L103)</x:f>
        <x:v>107067.99215833371</x:v>
      </x:c>
      <x:c r="M104" s="46" t="n">
        <x:f>SUM(M87:M103)</x:f>
        <x:v>108246.1529230376</x:v>
      </x:c>
      <x:c r="N104" s="46" t="n">
        <x:f>SUM(N87:N103)</x:f>
        <x:v>108559.86403099842</x:v>
      </x:c>
      <x:c r="O104" s="46" t="n">
        <x:f>SUM(O87:O103)</x:f>
        <x:v>110947.1811311036</x:v>
      </x:c>
      <x:c r="P104" s="46" t="n">
        <x:f>SUM(P87:P103)</x:f>
        <x:v>112110.75126270796</x:v>
      </x:c>
      <x:c r="Q104" s="46" t="n">
        <x:f>SUM(Q87:Q103)</x:f>
        <x:v>111894.35116531566</x:v>
      </x:c>
      <x:c r="R104" s="46" t="n">
        <x:f>SUM(R87:R103)</x:f>
        <x:v>110125.71995370577</x:v>
      </x:c>
      <x:c r="S104" s="46" t="n">
        <x:f>SUM(S87:S103)</x:f>
        <x:v>110277.98456675274</x:v>
      </x:c>
    </x:row>
    <x:row r="105" ht="23" customHeight="1">
      <x:c r="A105" s="3"/>
      <x:c r="B105" s="3"/>
      <x:c r="C105" s="45" t="str">
        <x:v>Wartość netto na koniec</x:v>
      </x:c>
      <x:c r="D105" s="46" t="n">
        <x:f>SUM(D84:D85)-D104</x:f>
        <x:v>59987.916666666664</x:v>
      </x:c>
      <x:c r="E105" s="46" t="n">
        <x:f>SUM(E84:E85)-E104</x:f>
        <x:v>78664.3850284704</x:v>
      </x:c>
      <x:c r="F105" s="46" t="n">
        <x:f>SUM(F84:F85)-F104</x:f>
        <x:v>107627.26954752905</x:v>
      </x:c>
      <x:c r="G105" s="46" t="n">
        <x:f>SUM(G84:G85)-G104</x:f>
        <x:v>155600.5389611902</x:v>
      </x:c>
      <x:c r="H105" s="46" t="n">
        <x:f>SUM(H84:H85)-H104</x:f>
        <x:v>237460.55537378564</x:v>
      </x:c>
      <x:c r="I105" s="46" t="n">
        <x:f>SUM(I84:I85)-I104</x:f>
        <x:v>246224.78412645703</x:v>
      </x:c>
      <x:c r="J105" s="46" t="n">
        <x:f>SUM(J84:J85)-J104</x:f>
        <x:v>252757.82326258218</x:v>
      </x:c>
      <x:c r="K105" s="46" t="n">
        <x:f>SUM(K84:K85)-K104</x:f>
        <x:v>258634.413848188</x:v>
      </x:c>
      <x:c r="L105" s="46" t="n">
        <x:f>SUM(L84:L85)-L104</x:f>
        <x:v>267951.449646426</x:v>
      </x:c>
      <x:c r="M105" s="46" t="n">
        <x:f>SUM(M84:M85)-M104</x:f>
        <x:v>287272.4875784275</x:v>
      </x:c>
      <x:c r="N105" s="46" t="n">
        <x:f>SUM(N84:N85)-N104</x:f>
        <x:v>281906.41223870835</x:v>
      </x:c>
      <x:c r="O105" s="46" t="n">
        <x:f>SUM(O84:O85)-O104</x:f>
        <x:v>276897.53942195285</x:v>
      </x:c>
      <x:c r="P105" s="46" t="n">
        <x:f>SUM(P84:P85)-P104</x:f>
        <x:v>273542.6087453177</x:v>
      </x:c>
      <x:c r="Q105" s="46" t="n">
        <x:f>SUM(Q84:Q85)-Q104</x:f>
        <x:v>273296.5243831082</x:v>
      </x:c>
      <x:c r="R105" s="46" t="n">
        <x:f>SUM(R84:R85)-R104</x:f>
        <x:v>277788.44432180823</x:v>
      </x:c>
      <x:c r="S105" s="46" t="n">
        <x:f>SUM(S84:S85)-S104</x:f>
        <x:v>285176.44553943776</x:v>
      </x:c>
    </x:row>
    <x:row r="106" ht="20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  <x:c r="Q106" s="3"/>
      <x:c r="R106" s="3"/>
      <x:c r="S106" s="3"/>
    </x:row>
    <x:row r="107" ht="20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  <x:c r="Q107" s="3"/>
      <x:c r="R107" s="3"/>
      <x:c r="S107" s="3"/>
    </x:row>
    <x:row r="108" ht="23" customHeight="1">
      <x:c r="A108" s="3"/>
      <x:c r="B108" s="3"/>
      <x:c r="C108" s="17" t="str">
        <x:v>SI: infrastruktura centrów danych</x:v>
      </x:c>
      <x:c r="D108" s="17"/>
      <x:c r="E108" s="17"/>
      <x:c r="F108" s="17"/>
      <x:c r="G108" s="17"/>
      <x:c r="H108" s="17"/>
      <x:c r="I108" s="17"/>
      <x:c r="J108" s="17"/>
      <x:c r="K108" s="17"/>
      <x:c r="L108" s="17"/>
      <x:c r="M108" s="17"/>
      <x:c r="N108" s="17"/>
      <x:c r="O108" s="17"/>
      <x:c r="P108" s="17"/>
      <x:c r="Q108" s="17"/>
      <x:c r="R108" s="17"/>
      <x:c r="S108" s="17"/>
    </x:row>
    <x:row r="109" ht="20" customHeight="1">
      <x:c r="A109" s="3"/>
      <x:c r="B109" s="3"/>
      <x:c r="C109" s="3" t="str">
        <x:v>Wartość netto na początek</x:v>
      </x:c>
      <x:c r="D109" s="38" t="n">
        <x:f>'Założenia'!$D$208</x:f>
        <x:v>10793.8</x:v>
      </x:c>
      <x:c r="E109" s="40" t="n">
        <x:f>D130</x:f>
        <x:v>15844.67673611111</x:v>
      </x:c>
      <x:c r="F109" s="40" t="n">
        <x:f>E130</x:f>
        <x:v>25073.242472988506</x:v>
      </x:c>
      <x:c r="G109" s="40" t="n">
        <x:f>F130</x:f>
        <x:v>38812.4811827862</x:v>
      </x:c>
      <x:c r="H109" s="40" t="n">
        <x:f>G130</x:f>
        <x:v>59310.19900144512</x:v>
      </x:c>
      <x:c r="I109" s="40" t="n">
        <x:f>H130</x:f>
        <x:v>89934.35252917332</x:v>
      </x:c>
      <x:c r="J109" s="40" t="n">
        <x:f>I130</x:f>
        <x:v>106421.66917567134</x:v>
      </x:c>
      <x:c r="K109" s="40" t="n">
        <x:f>J130</x:f>
        <x:v>123874.06962242034</x:v>
      </x:c>
      <x:c r="L109" s="40" t="n">
        <x:f>K130</x:f>
        <x:v>142384.27820393784</x:v>
      </x:c>
      <x:c r="M109" s="40" t="n">
        <x:f>L130</x:f>
        <x:v>162053.92812069628</x:v>
      </x:c>
      <x:c r="N109" s="40" t="n">
        <x:f>M130</x:f>
        <x:v>182994.417394499</x:v>
      </x:c>
      <x:c r="O109" s="40" t="n">
        <x:f>N130</x:f>
        <x:v>196399.3000051973</x:v>
      </x:c>
      <x:c r="P109" s="40" t="n">
        <x:f>O130</x:f>
        <x:v>209183.2369153776</x:v>
      </x:c>
      <x:c r="Q109" s="40" t="n">
        <x:f>P130</x:f>
        <x:v>221329.71358786145</x:v>
      </x:c>
      <x:c r="R109" s="40" t="n">
        <x:f>Q130</x:f>
        <x:v>232821.7762684213</x:v>
      </x:c>
      <x:c r="S109" s="40" t="n">
        <x:f>R130</x:f>
        <x:v>243642.0203044591</x:v>
      </x:c>
    </x:row>
    <x:row r="110" ht="20" customHeight="1">
      <x:c r="A110" s="3"/>
      <x:c r="B110" s="3"/>
      <x:c r="C110" s="3" t="str">
        <x:v>Aktywa oddane do użycia</x:v>
      </x:c>
      <x:c r="D110" s="38" t="n">
        <x:f>'Operacje'!D63*(1-'Założenia'!$D$183)</x:f>
        <x:v>5233.499999999999</x:v>
      </x:c>
      <x:c r="E110" s="38" t="n">
        <x:f>'Operacje'!E63*(1-'Założenia'!$D$183)</x:f>
        <x:v>10348.611581982517</x:v>
      </x:c>
      <x:c r="F110" s="38" t="n">
        <x:f>'Operacje'!F63*(1-'Założenia'!$D$183)</x:f>
        <x:v>15505.640866104999</x:v>
      </x:c>
      <x:c r="G110" s="38" t="n">
        <x:f>'Operacje'!G63*(1-'Założenia'!$D$183)</x:f>
        <x:v>23232.57538114754</x:v>
      </x:c>
      <x:c r="H110" s="38" t="n">
        <x:f>'Operacje'!H63*(1-'Założenia'!$D$183)</x:f>
        <x:v>34810.0774099954</x:v>
      </x:c>
      <x:c r="I110" s="38" t="n">
        <x:f>'Operacje'!I63*(1-'Założenia'!$D$183)</x:f>
        <x:v>22095.889706682156</x:v>
      </x:c>
      <x:c r="J110" s="38" t="n">
        <x:f>'Operacje'!J63*(1-'Założenia'!$D$183)</x:f>
        <x:v>24218.84179446173</x:v>
      </x:c>
      <x:c r="K110" s="38" t="n">
        <x:f>'Operacje'!K63*(1-'Założenia'!$D$183)</x:f>
        <x:v>26545.765101632576</x:v>
      </x:c>
      <x:c r="L110" s="38" t="n">
        <x:f>'Operacje'!L63*(1-'Założenia'!$D$183)</x:f>
        <x:v>29096.25698914292</x:v>
      </x:c>
      <x:c r="M110" s="38" t="n">
        <x:f>'Operacje'!M63*(1-'Założenia'!$D$183)</x:f>
        <x:v>31891.797713759755</x:v>
      </x:c>
      <x:c r="N110" s="38" t="n">
        <x:f>'Operacje'!N63*(1-'Założenia'!$D$183)</x:f>
        <x:v>25798.44717281982</x:v>
      </x:c>
      <x:c r="O110" s="38" t="n">
        <x:f>'Operacje'!O63*(1-'Założenia'!$D$183)</x:f>
        <x:v>26484.577078587026</x:v>
      </x:c>
      <x:c r="P110" s="38" t="n">
        <x:f>'Operacje'!P63*(1-'Założenia'!$D$183)</x:f>
        <x:v>27188.955146518198</x:v>
      </x:c>
      <x:c r="Q110" s="38" t="n">
        <x:f>'Operacje'!Q63*(1-'Założenia'!$D$183)</x:f>
        <x:v>27912.066700776544</x:v>
      </x:c>
      <x:c r="R110" s="38" t="n">
        <x:f>'Operacje'!R63*(1-'Założenia'!$D$183)</x:f>
        <x:v>28654.40997310145</x:v>
      </x:c>
      <x:c r="S110" s="38" t="n">
        <x:f>'Operacje'!S63*(1-'Założenia'!$D$183)</x:f>
        <x:v>29416.496446095553</x:v>
      </x:c>
    </x:row>
    <x:row r="111" ht="20" customHeight="1">
      <x:c r="A111" s="3"/>
      <x:c r="B111" s="3"/>
      <x:c r="C111" s="3" t="str">
        <x:v>Żywotność nowych aktywów (lata)</x:v>
      </x:c>
      <x:c r="D111" s="38" t="n">
        <x:f>'Założenia'!$D$198</x:f>
        <x:v>20</x:v>
      </x:c>
      <x:c r="E111" s="38" t="n">
        <x:f>'Założenia'!$D$198</x:f>
        <x:v>20</x:v>
      </x:c>
      <x:c r="F111" s="38" t="n">
        <x:f>'Założenia'!$D$198</x:f>
        <x:v>20</x:v>
      </x:c>
      <x:c r="G111" s="38" t="n">
        <x:f>'Założenia'!$D$198</x:f>
        <x:v>20</x:v>
      </x:c>
      <x:c r="H111" s="38" t="n">
        <x:f>'Założenia'!$D$198</x:f>
        <x:v>20</x:v>
      </x:c>
      <x:c r="I111" s="38" t="n">
        <x:f>'Założenia'!$D$198</x:f>
        <x:v>20</x:v>
      </x:c>
      <x:c r="J111" s="38" t="n">
        <x:f>'Założenia'!$D$198</x:f>
        <x:v>20</x:v>
      </x:c>
      <x:c r="K111" s="38" t="n">
        <x:f>'Założenia'!$D$198</x:f>
        <x:v>20</x:v>
      </x:c>
      <x:c r="L111" s="38" t="n">
        <x:f>'Założenia'!$D$198</x:f>
        <x:v>20</x:v>
      </x:c>
      <x:c r="M111" s="38" t="n">
        <x:f>'Założenia'!$D$198</x:f>
        <x:v>20</x:v>
      </x:c>
      <x:c r="N111" s="38" t="n">
        <x:f>'Założenia'!$D$198</x:f>
        <x:v>20</x:v>
      </x:c>
      <x:c r="O111" s="38" t="n">
        <x:f>'Założenia'!$D$198</x:f>
        <x:v>20</x:v>
      </x:c>
      <x:c r="P111" s="38" t="n">
        <x:f>'Założenia'!$D$198</x:f>
        <x:v>20</x:v>
      </x:c>
      <x:c r="Q111" s="38" t="n">
        <x:f>'Założenia'!$D$198</x:f>
        <x:v>20</x:v>
      </x:c>
      <x:c r="R111" s="38" t="n">
        <x:f>'Założenia'!$D$198</x:f>
        <x:v>20</x:v>
      </x:c>
      <x:c r="S111" s="38" t="n">
        <x:f>'Założenia'!$D$198</x:f>
        <x:v>20</x:v>
      </x:c>
    </x:row>
    <x:row r="112" ht="20" customHeight="1">
      <x:c r="A112" s="3"/>
      <x:c r="B112" s="3"/>
      <x:c r="C112" s="3" t="str">
        <x:v>D&amp;A aktywów początkowych</x:v>
      </x:c>
      <x:c r="D112" s="38" t="n">
        <x:f>'Założenia'!$D$208/'Założenia'!$E$208*MAX(0,MIN(D$6,'Założenia'!$E$208)-MAX(D$3,0))</x:f>
        <x:v>149.9138888888889</x:v>
      </x:c>
      <x:c r="E112" s="38" t="n">
        <x:f>'Założenia'!$D$208/'Założenia'!$E$208*MAX(0,MIN(E$6,'Założenia'!$E$208)-MAX(E$3,0))</x:f>
        <x:v>599.6555555555556</x:v>
      </x:c>
      <x:c r="F112" s="38" t="n">
        <x:f>'Założenia'!$D$208/'Założenia'!$E$208*MAX(0,MIN(F$6,'Założenia'!$E$208)-MAX(F$3,0))</x:f>
        <x:v>599.6555555555556</x:v>
      </x:c>
      <x:c r="G112" s="38" t="n">
        <x:f>'Założenia'!$D$208/'Założenia'!$E$208*MAX(0,MIN(G$6,'Założenia'!$E$208)-MAX(G$3,0))</x:f>
        <x:v>599.6555555555556</x:v>
      </x:c>
      <x:c r="H112" s="38" t="n">
        <x:f>'Założenia'!$D$208/'Założenia'!$E$208*MAX(0,MIN(H$6,'Założenia'!$E$208)-MAX(H$3,0))</x:f>
        <x:v>599.6555555555556</x:v>
      </x:c>
      <x:c r="I112" s="38" t="n">
        <x:f>'Założenia'!$D$208/'Założenia'!$E$208*MAX(0,MIN(I$6,'Założenia'!$E$208)-MAX(I$3,0))</x:f>
        <x:v>599.6555555555556</x:v>
      </x:c>
      <x:c r="J112" s="38" t="n">
        <x:f>'Założenia'!$D$208/'Założenia'!$E$208*MAX(0,MIN(J$6,'Założenia'!$E$208)-MAX(J$3,0))</x:f>
        <x:v>599.6555555555556</x:v>
      </x:c>
      <x:c r="K112" s="38" t="n">
        <x:f>'Założenia'!$D$208/'Założenia'!$E$208*MAX(0,MIN(K$6,'Założenia'!$E$208)-MAX(K$3,0))</x:f>
        <x:v>599.6555555555556</x:v>
      </x:c>
      <x:c r="L112" s="38" t="n">
        <x:f>'Założenia'!$D$208/'Założenia'!$E$208*MAX(0,MIN(L$6,'Założenia'!$E$208)-MAX(L$3,0))</x:f>
        <x:v>599.6555555555556</x:v>
      </x:c>
      <x:c r="M112" s="38" t="n">
        <x:f>'Założenia'!$D$208/'Założenia'!$E$208*MAX(0,MIN(M$6,'Założenia'!$E$208)-MAX(M$3,0))</x:f>
        <x:v>599.6555555555556</x:v>
      </x:c>
      <x:c r="N112" s="38" t="n">
        <x:f>'Założenia'!$D$208/'Założenia'!$E$208*MAX(0,MIN(N$6,'Założenia'!$E$208)-MAX(N$3,0))</x:f>
        <x:v>599.6555555555556</x:v>
      </x:c>
      <x:c r="O112" s="38" t="n">
        <x:f>'Założenia'!$D$208/'Założenia'!$E$208*MAX(0,MIN(O$6,'Założenia'!$E$208)-MAX(O$3,0))</x:f>
        <x:v>599.6555555555556</x:v>
      </x:c>
      <x:c r="P112" s="38" t="n">
        <x:f>'Założenia'!$D$208/'Założenia'!$E$208*MAX(0,MIN(P$6,'Założenia'!$E$208)-MAX(P$3,0))</x:f>
        <x:v>599.6555555555556</x:v>
      </x:c>
      <x:c r="Q112" s="38" t="n">
        <x:f>'Założenia'!$D$208/'Założenia'!$E$208*MAX(0,MIN(Q$6,'Założenia'!$E$208)-MAX(Q$3,0))</x:f>
        <x:v>599.6555555555556</x:v>
      </x:c>
      <x:c r="R112" s="38" t="n">
        <x:f>'Założenia'!$D$208/'Założenia'!$E$208*MAX(0,MIN(R$6,'Założenia'!$E$208)-MAX(R$3,0))</x:f>
        <x:v>599.6555555555556</x:v>
      </x:c>
      <x:c r="S112" s="38" t="n">
        <x:f>'Założenia'!$D$208/'Założenia'!$E$208*MAX(0,MIN(S$6,'Założenia'!$E$208)-MAX(S$3,0))</x:f>
        <x:v>599.6555555555556</x:v>
      </x:c>
    </x:row>
    <x:row r="113" ht="20" customHeight="1">
      <x:c r="A113" s="3"/>
      <x:c r="B113" s="3"/>
      <x:c r="C113" s="3" t="str">
        <x:v>D&amp;A nakładów Q4:26E</x:v>
      </x:c>
      <x:c r="D113" s="40" t="n">
        <x:f>D110/D111*MAX(0,MIN(D$6,(D$3+D$6)/2+D111)-MAX(D$3,(D$3+D$6)/2))</x:f>
        <x:v>32.709374999999994</x:v>
      </x:c>
      <x:c r="E113" s="40" t="n">
        <x:f>D110/D111*MAX(0,MIN(E$6,(D$3+D$6)/2+D111)-MAX(E$3,(D$3+D$6)/2))</x:f>
        <x:v>261.67499999999995</x:v>
      </x:c>
      <x:c r="F113" s="40" t="n">
        <x:f>D110/D111*MAX(0,MIN(F$6,(D$3+D$6)/2+D111)-MAX(F$3,(D$3+D$6)/2))</x:f>
        <x:v>261.67499999999995</x:v>
      </x:c>
      <x:c r="G113" s="40" t="n">
        <x:f>D110/D111*MAX(0,MIN(G$6,(D$3+D$6)/2+D111)-MAX(G$3,(D$3+D$6)/2))</x:f>
        <x:v>261.67499999999995</x:v>
      </x:c>
      <x:c r="H113" s="40" t="n">
        <x:f>D110/D111*MAX(0,MIN(H$6,(D$3+D$6)/2+D111)-MAX(H$3,(D$3+D$6)/2))</x:f>
        <x:v>261.67499999999995</x:v>
      </x:c>
      <x:c r="I113" s="40" t="n">
        <x:f>D110/D111*MAX(0,MIN(I$6,(D$3+D$6)/2+D111)-MAX(I$3,(D$3+D$6)/2))</x:f>
        <x:v>261.67499999999995</x:v>
      </x:c>
      <x:c r="J113" s="40" t="n">
        <x:f>D110/D111*MAX(0,MIN(J$6,(D$3+D$6)/2+D111)-MAX(J$3,(D$3+D$6)/2))</x:f>
        <x:v>261.67499999999995</x:v>
      </x:c>
      <x:c r="K113" s="40" t="n">
        <x:f>D110/D111*MAX(0,MIN(K$6,(D$3+D$6)/2+D111)-MAX(K$3,(D$3+D$6)/2))</x:f>
        <x:v>261.67499999999995</x:v>
      </x:c>
      <x:c r="L113" s="40" t="n">
        <x:f>D110/D111*MAX(0,MIN(L$6,(D$3+D$6)/2+D111)-MAX(L$3,(D$3+D$6)/2))</x:f>
        <x:v>261.67499999999995</x:v>
      </x:c>
      <x:c r="M113" s="40" t="n">
        <x:f>D110/D111*MAX(0,MIN(M$6,(D$3+D$6)/2+D111)-MAX(M$3,(D$3+D$6)/2))</x:f>
        <x:v>261.67499999999995</x:v>
      </x:c>
      <x:c r="N113" s="40" t="n">
        <x:f>D110/D111*MAX(0,MIN(N$6,(D$3+D$6)/2+D111)-MAX(N$3,(D$3+D$6)/2))</x:f>
        <x:v>261.67499999999995</x:v>
      </x:c>
      <x:c r="O113" s="40" t="n">
        <x:f>D110/D111*MAX(0,MIN(O$6,(D$3+D$6)/2+D111)-MAX(O$3,(D$3+D$6)/2))</x:f>
        <x:v>261.67499999999995</x:v>
      </x:c>
      <x:c r="P113" s="40" t="n">
        <x:f>D110/D111*MAX(0,MIN(P$6,(D$3+D$6)/2+D111)-MAX(P$3,(D$3+D$6)/2))</x:f>
        <x:v>261.67499999999995</x:v>
      </x:c>
      <x:c r="Q113" s="40" t="n">
        <x:f>D110/D111*MAX(0,MIN(Q$6,(D$3+D$6)/2+D111)-MAX(Q$3,(D$3+D$6)/2))</x:f>
        <x:v>261.67499999999995</x:v>
      </x:c>
      <x:c r="R113" s="40" t="n">
        <x:f>D110/D111*MAX(0,MIN(R$6,(D$3+D$6)/2+D111)-MAX(R$3,(D$3+D$6)/2))</x:f>
        <x:v>261.67499999999995</x:v>
      </x:c>
      <x:c r="S113" s="40" t="n">
        <x:f>D110/D111*MAX(0,MIN(S$6,(D$3+D$6)/2+D111)-MAX(S$3,(D$3+D$6)/2))</x:f>
        <x:v>261.67499999999995</x:v>
      </x:c>
    </x:row>
    <x:row r="114" ht="20" customHeight="1">
      <x:c r="A114" s="3"/>
      <x:c r="B114" s="3"/>
      <x:c r="C114" s="3" t="str">
        <x:v>D&amp;A nakładów 2027E</x:v>
      </x:c>
      <x:c r="D114" s="40" t="n">
        <x:f>0</x:f>
        <x:v>0</x:v>
      </x:c>
      <x:c r="E114" s="40" t="n">
        <x:f>E110/E111*MAX(0,MIN(E$6,(E$3+E$6)/2+E111)-MAX(E$3,(E$3+E$6)/2))</x:f>
        <x:v>258.71528954956295</x:v>
      </x:c>
      <x:c r="F114" s="40" t="n">
        <x:f>E110/E111*MAX(0,MIN(F$6,(E$3+E$6)/2+E111)-MAX(F$3,(E$3+E$6)/2))</x:f>
        <x:v>517.4305790991259</x:v>
      </x:c>
      <x:c r="G114" s="40" t="n">
        <x:f>E110/E111*MAX(0,MIN(G$6,(E$3+E$6)/2+E111)-MAX(G$3,(E$3+E$6)/2))</x:f>
        <x:v>517.4305790991259</x:v>
      </x:c>
      <x:c r="H114" s="40" t="n">
        <x:f>E110/E111*MAX(0,MIN(H$6,(E$3+E$6)/2+E111)-MAX(H$3,(E$3+E$6)/2))</x:f>
        <x:v>517.4305790991259</x:v>
      </x:c>
      <x:c r="I114" s="40" t="n">
        <x:f>E110/E111*MAX(0,MIN(I$6,(E$3+E$6)/2+E111)-MAX(I$3,(E$3+E$6)/2))</x:f>
        <x:v>517.4305790991259</x:v>
      </x:c>
      <x:c r="J114" s="40" t="n">
        <x:f>E110/E111*MAX(0,MIN(J$6,(E$3+E$6)/2+E111)-MAX(J$3,(E$3+E$6)/2))</x:f>
        <x:v>517.4305790991259</x:v>
      </x:c>
      <x:c r="K114" s="40" t="n">
        <x:f>E110/E111*MAX(0,MIN(K$6,(E$3+E$6)/2+E111)-MAX(K$3,(E$3+E$6)/2))</x:f>
        <x:v>517.4305790991259</x:v>
      </x:c>
      <x:c r="L114" s="40" t="n">
        <x:f>E110/E111*MAX(0,MIN(L$6,(E$3+E$6)/2+E111)-MAX(L$3,(E$3+E$6)/2))</x:f>
        <x:v>517.4305790991259</x:v>
      </x:c>
      <x:c r="M114" s="40" t="n">
        <x:f>E110/E111*MAX(0,MIN(M$6,(E$3+E$6)/2+E111)-MAX(M$3,(E$3+E$6)/2))</x:f>
        <x:v>517.4305790991259</x:v>
      </x:c>
      <x:c r="N114" s="40" t="n">
        <x:f>E110/E111*MAX(0,MIN(N$6,(E$3+E$6)/2+E111)-MAX(N$3,(E$3+E$6)/2))</x:f>
        <x:v>517.4305790991259</x:v>
      </x:c>
      <x:c r="O114" s="40" t="n">
        <x:f>E110/E111*MAX(0,MIN(O$6,(E$3+E$6)/2+E111)-MAX(O$3,(E$3+E$6)/2))</x:f>
        <x:v>517.4305790991259</x:v>
      </x:c>
      <x:c r="P114" s="40" t="n">
        <x:f>E110/E111*MAX(0,MIN(P$6,(E$3+E$6)/2+E111)-MAX(P$3,(E$3+E$6)/2))</x:f>
        <x:v>517.4305790991259</x:v>
      </x:c>
      <x:c r="Q114" s="40" t="n">
        <x:f>E110/E111*MAX(0,MIN(Q$6,(E$3+E$6)/2+E111)-MAX(Q$3,(E$3+E$6)/2))</x:f>
        <x:v>517.4305790991259</x:v>
      </x:c>
      <x:c r="R114" s="40" t="n">
        <x:f>E110/E111*MAX(0,MIN(R$6,(E$3+E$6)/2+E111)-MAX(R$3,(E$3+E$6)/2))</x:f>
        <x:v>517.4305790991259</x:v>
      </x:c>
      <x:c r="S114" s="40" t="n">
        <x:f>E110/E111*MAX(0,MIN(S$6,(E$3+E$6)/2+E111)-MAX(S$3,(E$3+E$6)/2))</x:f>
        <x:v>517.4305790991259</x:v>
      </x:c>
    </x:row>
    <x:row r="115" ht="20" customHeight="1">
      <x:c r="A115" s="3"/>
      <x:c r="B115" s="3"/>
      <x:c r="C115" s="3" t="str">
        <x:v>D&amp;A nakładów 2028E</x:v>
      </x:c>
      <x:c r="D115" s="40" t="n">
        <x:f>0</x:f>
        <x:v>0</x:v>
      </x:c>
      <x:c r="E115" s="40" t="n">
        <x:f>0</x:f>
        <x:v>0</x:v>
      </x:c>
      <x:c r="F115" s="40" t="n">
        <x:f>F110/F111*MAX(0,MIN(F$6,(F$3+F$6)/2+F111)-MAX(F$3,(F$3+F$6)/2))</x:f>
        <x:v>387.641021652625</x:v>
      </x:c>
      <x:c r="G115" s="40" t="n">
        <x:f>F110/F111*MAX(0,MIN(G$6,(F$3+F$6)/2+F111)-MAX(G$3,(F$3+F$6)/2))</x:f>
        <x:v>775.28204330525</x:v>
      </x:c>
      <x:c r="H115" s="40" t="n">
        <x:f>F110/F111*MAX(0,MIN(H$6,(F$3+F$6)/2+F111)-MAX(H$3,(F$3+F$6)/2))</x:f>
        <x:v>775.28204330525</x:v>
      </x:c>
      <x:c r="I115" s="40" t="n">
        <x:f>F110/F111*MAX(0,MIN(I$6,(F$3+F$6)/2+F111)-MAX(I$3,(F$3+F$6)/2))</x:f>
        <x:v>775.28204330525</x:v>
      </x:c>
      <x:c r="J115" s="40" t="n">
        <x:f>F110/F111*MAX(0,MIN(J$6,(F$3+F$6)/2+F111)-MAX(J$3,(F$3+F$6)/2))</x:f>
        <x:v>775.28204330525</x:v>
      </x:c>
      <x:c r="K115" s="40" t="n">
        <x:f>F110/F111*MAX(0,MIN(K$6,(F$3+F$6)/2+F111)-MAX(K$3,(F$3+F$6)/2))</x:f>
        <x:v>775.28204330525</x:v>
      </x:c>
      <x:c r="L115" s="40" t="n">
        <x:f>F110/F111*MAX(0,MIN(L$6,(F$3+F$6)/2+F111)-MAX(L$3,(F$3+F$6)/2))</x:f>
        <x:v>775.28204330525</x:v>
      </x:c>
      <x:c r="M115" s="40" t="n">
        <x:f>F110/F111*MAX(0,MIN(M$6,(F$3+F$6)/2+F111)-MAX(M$3,(F$3+F$6)/2))</x:f>
        <x:v>775.28204330525</x:v>
      </x:c>
      <x:c r="N115" s="40" t="n">
        <x:f>F110/F111*MAX(0,MIN(N$6,(F$3+F$6)/2+F111)-MAX(N$3,(F$3+F$6)/2))</x:f>
        <x:v>775.28204330525</x:v>
      </x:c>
      <x:c r="O115" s="40" t="n">
        <x:f>F110/F111*MAX(0,MIN(O$6,(F$3+F$6)/2+F111)-MAX(O$3,(F$3+F$6)/2))</x:f>
        <x:v>775.28204330525</x:v>
      </x:c>
      <x:c r="P115" s="40" t="n">
        <x:f>F110/F111*MAX(0,MIN(P$6,(F$3+F$6)/2+F111)-MAX(P$3,(F$3+F$6)/2))</x:f>
        <x:v>775.28204330525</x:v>
      </x:c>
      <x:c r="Q115" s="40" t="n">
        <x:f>F110/F111*MAX(0,MIN(Q$6,(F$3+F$6)/2+F111)-MAX(Q$3,(F$3+F$6)/2))</x:f>
        <x:v>775.28204330525</x:v>
      </x:c>
      <x:c r="R115" s="40" t="n">
        <x:f>F110/F111*MAX(0,MIN(R$6,(F$3+F$6)/2+F111)-MAX(R$3,(F$3+F$6)/2))</x:f>
        <x:v>775.28204330525</x:v>
      </x:c>
      <x:c r="S115" s="40" t="n">
        <x:f>F110/F111*MAX(0,MIN(S$6,(F$3+F$6)/2+F111)-MAX(S$3,(F$3+F$6)/2))</x:f>
        <x:v>775.28204330525</x:v>
      </x:c>
    </x:row>
    <x:row r="116" ht="20" customHeight="1">
      <x:c r="A116" s="3"/>
      <x:c r="B116" s="3"/>
      <x:c r="C116" s="3" t="str">
        <x:v>D&amp;A nakładów 2029E</x:v>
      </x:c>
      <x:c r="D116" s="40" t="n">
        <x:f>0</x:f>
        <x:v>0</x:v>
      </x:c>
      <x:c r="E116" s="40" t="n">
        <x:f>0</x:f>
        <x:v>0</x:v>
      </x:c>
      <x:c r="F116" s="40" t="n">
        <x:f>0</x:f>
        <x:v>0</x:v>
      </x:c>
      <x:c r="G116" s="40" t="n">
        <x:f>G110/G111*MAX(0,MIN(G$6,(G$3+G$6)/2+G111)-MAX(G$3,(G$3+G$6)/2))</x:f>
        <x:v>580.8143845286885</x:v>
      </x:c>
      <x:c r="H116" s="40" t="n">
        <x:f>G110/G111*MAX(0,MIN(H$6,(G$3+G$6)/2+G111)-MAX(H$3,(G$3+G$6)/2))</x:f>
        <x:v>1161.628769057377</x:v>
      </x:c>
      <x:c r="I116" s="40" t="n">
        <x:f>G110/G111*MAX(0,MIN(I$6,(G$3+G$6)/2+G111)-MAX(I$3,(G$3+G$6)/2))</x:f>
        <x:v>1161.628769057377</x:v>
      </x:c>
      <x:c r="J116" s="40" t="n">
        <x:f>G110/G111*MAX(0,MIN(J$6,(G$3+G$6)/2+G111)-MAX(J$3,(G$3+G$6)/2))</x:f>
        <x:v>1161.628769057377</x:v>
      </x:c>
      <x:c r="K116" s="40" t="n">
        <x:f>G110/G111*MAX(0,MIN(K$6,(G$3+G$6)/2+G111)-MAX(K$3,(G$3+G$6)/2))</x:f>
        <x:v>1161.628769057377</x:v>
      </x:c>
      <x:c r="L116" s="40" t="n">
        <x:f>G110/G111*MAX(0,MIN(L$6,(G$3+G$6)/2+G111)-MAX(L$3,(G$3+G$6)/2))</x:f>
        <x:v>1161.628769057377</x:v>
      </x:c>
      <x:c r="M116" s="40" t="n">
        <x:f>G110/G111*MAX(0,MIN(M$6,(G$3+G$6)/2+G111)-MAX(M$3,(G$3+G$6)/2))</x:f>
        <x:v>1161.628769057377</x:v>
      </x:c>
      <x:c r="N116" s="40" t="n">
        <x:f>G110/G111*MAX(0,MIN(N$6,(G$3+G$6)/2+G111)-MAX(N$3,(G$3+G$6)/2))</x:f>
        <x:v>1161.628769057377</x:v>
      </x:c>
      <x:c r="O116" s="40" t="n">
        <x:f>G110/G111*MAX(0,MIN(O$6,(G$3+G$6)/2+G111)-MAX(O$3,(G$3+G$6)/2))</x:f>
        <x:v>1161.628769057377</x:v>
      </x:c>
      <x:c r="P116" s="40" t="n">
        <x:f>G110/G111*MAX(0,MIN(P$6,(G$3+G$6)/2+G111)-MAX(P$3,(G$3+G$6)/2))</x:f>
        <x:v>1161.628769057377</x:v>
      </x:c>
      <x:c r="Q116" s="40" t="n">
        <x:f>G110/G111*MAX(0,MIN(Q$6,(G$3+G$6)/2+G111)-MAX(Q$3,(G$3+G$6)/2))</x:f>
        <x:v>1161.628769057377</x:v>
      </x:c>
      <x:c r="R116" s="40" t="n">
        <x:f>G110/G111*MAX(0,MIN(R$6,(G$3+G$6)/2+G111)-MAX(R$3,(G$3+G$6)/2))</x:f>
        <x:v>1161.628769057377</x:v>
      </x:c>
      <x:c r="S116" s="40" t="n">
        <x:f>G110/G111*MAX(0,MIN(S$6,(G$3+G$6)/2+G111)-MAX(S$3,(G$3+G$6)/2))</x:f>
        <x:v>1161.628769057377</x:v>
      </x:c>
    </x:row>
    <x:row r="117" ht="20" customHeight="1">
      <x:c r="A117" s="3"/>
      <x:c r="B117" s="3"/>
      <x:c r="C117" s="3" t="str">
        <x:v>D&amp;A nakładów 2030E</x:v>
      </x:c>
      <x:c r="D117" s="40" t="n">
        <x:f>0</x:f>
        <x:v>0</x:v>
      </x:c>
      <x:c r="E117" s="40" t="n">
        <x:f>0</x:f>
        <x:v>0</x:v>
      </x:c>
      <x:c r="F117" s="40" t="n">
        <x:f>0</x:f>
        <x:v>0</x:v>
      </x:c>
      <x:c r="G117" s="40" t="n">
        <x:f>0</x:f>
        <x:v>0</x:v>
      </x:c>
      <x:c r="H117" s="40" t="n">
        <x:f>H110/H111*MAX(0,MIN(H$6,(H$3+H$6)/2+H111)-MAX(H$3,(H$3+H$6)/2))</x:f>
        <x:v>870.251935249885</x:v>
      </x:c>
      <x:c r="I117" s="40" t="n">
        <x:f>H110/H111*MAX(0,MIN(I$6,(H$3+H$6)/2+H111)-MAX(I$3,(H$3+H$6)/2))</x:f>
        <x:v>1740.50387049977</x:v>
      </x:c>
      <x:c r="J117" s="40" t="n">
        <x:f>H110/H111*MAX(0,MIN(J$6,(H$3+H$6)/2+H111)-MAX(J$3,(H$3+H$6)/2))</x:f>
        <x:v>1740.50387049977</x:v>
      </x:c>
      <x:c r="K117" s="40" t="n">
        <x:f>H110/H111*MAX(0,MIN(K$6,(H$3+H$6)/2+H111)-MAX(K$3,(H$3+H$6)/2))</x:f>
        <x:v>1740.50387049977</x:v>
      </x:c>
      <x:c r="L117" s="40" t="n">
        <x:f>H110/H111*MAX(0,MIN(L$6,(H$3+H$6)/2+H111)-MAX(L$3,(H$3+H$6)/2))</x:f>
        <x:v>1740.50387049977</x:v>
      </x:c>
      <x:c r="M117" s="40" t="n">
        <x:f>H110/H111*MAX(0,MIN(M$6,(H$3+H$6)/2+H111)-MAX(M$3,(H$3+H$6)/2))</x:f>
        <x:v>1740.50387049977</x:v>
      </x:c>
      <x:c r="N117" s="40" t="n">
        <x:f>H110/H111*MAX(0,MIN(N$6,(H$3+H$6)/2+H111)-MAX(N$3,(H$3+H$6)/2))</x:f>
        <x:v>1740.50387049977</x:v>
      </x:c>
      <x:c r="O117" s="40" t="n">
        <x:f>H110/H111*MAX(0,MIN(O$6,(H$3+H$6)/2+H111)-MAX(O$3,(H$3+H$6)/2))</x:f>
        <x:v>1740.50387049977</x:v>
      </x:c>
      <x:c r="P117" s="40" t="n">
        <x:f>H110/H111*MAX(0,MIN(P$6,(H$3+H$6)/2+H111)-MAX(P$3,(H$3+H$6)/2))</x:f>
        <x:v>1740.50387049977</x:v>
      </x:c>
      <x:c r="Q117" s="40" t="n">
        <x:f>H110/H111*MAX(0,MIN(Q$6,(H$3+H$6)/2+H111)-MAX(Q$3,(H$3+H$6)/2))</x:f>
        <x:v>1740.50387049977</x:v>
      </x:c>
      <x:c r="R117" s="40" t="n">
        <x:f>H110/H111*MAX(0,MIN(R$6,(H$3+H$6)/2+H111)-MAX(R$3,(H$3+H$6)/2))</x:f>
        <x:v>1740.50387049977</x:v>
      </x:c>
      <x:c r="S117" s="40" t="n">
        <x:f>H110/H111*MAX(0,MIN(S$6,(H$3+H$6)/2+H111)-MAX(S$3,(H$3+H$6)/2))</x:f>
        <x:v>1740.50387049977</x:v>
      </x:c>
    </x:row>
    <x:row r="118" ht="20" customHeight="1">
      <x:c r="A118" s="3"/>
      <x:c r="B118" s="3"/>
      <x:c r="C118" s="3" t="str">
        <x:v>D&amp;A nakładów 2031E</x:v>
      </x:c>
      <x:c r="D118" s="40" t="n">
        <x:f>0</x:f>
        <x:v>0</x:v>
      </x:c>
      <x:c r="E118" s="40" t="n">
        <x:f>0</x:f>
        <x:v>0</x:v>
      </x:c>
      <x:c r="F118" s="40" t="n">
        <x:f>0</x:f>
        <x:v>0</x:v>
      </x:c>
      <x:c r="G118" s="40" t="n">
        <x:f>0</x:f>
        <x:v>0</x:v>
      </x:c>
      <x:c r="H118" s="40" t="n">
        <x:f>0</x:f>
        <x:v>0</x:v>
      </x:c>
      <x:c r="I118" s="40" t="n">
        <x:f>I110/I111*MAX(0,MIN(I$6,(I$3+I$6)/2+I111)-MAX(I$3,(I$3+I$6)/2))</x:f>
        <x:v>552.3972426670539</x:v>
      </x:c>
      <x:c r="J118" s="40" t="n">
        <x:f>I110/I111*MAX(0,MIN(J$6,(I$3+I$6)/2+I111)-MAX(J$3,(I$3+I$6)/2))</x:f>
        <x:v>1104.7944853341078</x:v>
      </x:c>
      <x:c r="K118" s="40" t="n">
        <x:f>I110/I111*MAX(0,MIN(K$6,(I$3+I$6)/2+I111)-MAX(K$3,(I$3+I$6)/2))</x:f>
        <x:v>1104.7944853341078</x:v>
      </x:c>
      <x:c r="L118" s="40" t="n">
        <x:f>I110/I111*MAX(0,MIN(L$6,(I$3+I$6)/2+I111)-MAX(L$3,(I$3+I$6)/2))</x:f>
        <x:v>1104.7944853341078</x:v>
      </x:c>
      <x:c r="M118" s="40" t="n">
        <x:f>I110/I111*MAX(0,MIN(M$6,(I$3+I$6)/2+I111)-MAX(M$3,(I$3+I$6)/2))</x:f>
        <x:v>1104.7944853341078</x:v>
      </x:c>
      <x:c r="N118" s="40" t="n">
        <x:f>I110/I111*MAX(0,MIN(N$6,(I$3+I$6)/2+I111)-MAX(N$3,(I$3+I$6)/2))</x:f>
        <x:v>1104.7944853341078</x:v>
      </x:c>
      <x:c r="O118" s="40" t="n">
        <x:f>I110/I111*MAX(0,MIN(O$6,(I$3+I$6)/2+I111)-MAX(O$3,(I$3+I$6)/2))</x:f>
        <x:v>1104.7944853341078</x:v>
      </x:c>
      <x:c r="P118" s="40" t="n">
        <x:f>I110/I111*MAX(0,MIN(P$6,(I$3+I$6)/2+I111)-MAX(P$3,(I$3+I$6)/2))</x:f>
        <x:v>1104.7944853341078</x:v>
      </x:c>
      <x:c r="Q118" s="40" t="n">
        <x:f>I110/I111*MAX(0,MIN(Q$6,(I$3+I$6)/2+I111)-MAX(Q$3,(I$3+I$6)/2))</x:f>
        <x:v>1104.7944853341078</x:v>
      </x:c>
      <x:c r="R118" s="40" t="n">
        <x:f>I110/I111*MAX(0,MIN(R$6,(I$3+I$6)/2+I111)-MAX(R$3,(I$3+I$6)/2))</x:f>
        <x:v>1104.7944853341078</x:v>
      </x:c>
      <x:c r="S118" s="40" t="n">
        <x:f>I110/I111*MAX(0,MIN(S$6,(I$3+I$6)/2+I111)-MAX(S$3,(I$3+I$6)/2))</x:f>
        <x:v>1104.7944853341078</x:v>
      </x:c>
    </x:row>
    <x:row r="119" ht="20" customHeight="1">
      <x:c r="A119" s="3"/>
      <x:c r="B119" s="3"/>
      <x:c r="C119" s="3" t="str">
        <x:v>D&amp;A nakładów 2032E</x:v>
      </x:c>
      <x:c r="D119" s="40" t="n">
        <x:f>0</x:f>
        <x:v>0</x:v>
      </x:c>
      <x:c r="E119" s="40" t="n">
        <x:f>0</x:f>
        <x:v>0</x:v>
      </x:c>
      <x:c r="F119" s="40" t="n">
        <x:f>0</x:f>
        <x:v>0</x:v>
      </x:c>
      <x:c r="G119" s="40" t="n">
        <x:f>0</x:f>
        <x:v>0</x:v>
      </x:c>
      <x:c r="H119" s="40" t="n">
        <x:f>0</x:f>
        <x:v>0</x:v>
      </x:c>
      <x:c r="I119" s="40" t="n">
        <x:f>0</x:f>
        <x:v>0</x:v>
      </x:c>
      <x:c r="J119" s="40" t="n">
        <x:f>J110/J111*MAX(0,MIN(J$6,(J$3+J$6)/2+J111)-MAX(J$3,(J$3+J$6)/2))</x:f>
        <x:v>605.4710448615432</x:v>
      </x:c>
      <x:c r="K119" s="40" t="n">
        <x:f>J110/J111*MAX(0,MIN(K$6,(J$3+J$6)/2+J111)-MAX(K$3,(J$3+J$6)/2))</x:f>
        <x:v>1210.9420897230864</x:v>
      </x:c>
      <x:c r="L119" s="40" t="n">
        <x:f>J110/J111*MAX(0,MIN(L$6,(J$3+J$6)/2+J111)-MAX(L$3,(J$3+J$6)/2))</x:f>
        <x:v>1210.9420897230864</x:v>
      </x:c>
      <x:c r="M119" s="40" t="n">
        <x:f>J110/J111*MAX(0,MIN(M$6,(J$3+J$6)/2+J111)-MAX(M$3,(J$3+J$6)/2))</x:f>
        <x:v>1210.9420897230864</x:v>
      </x:c>
      <x:c r="N119" s="40" t="n">
        <x:f>J110/J111*MAX(0,MIN(N$6,(J$3+J$6)/2+J111)-MAX(N$3,(J$3+J$6)/2))</x:f>
        <x:v>1210.9420897230864</x:v>
      </x:c>
      <x:c r="O119" s="40" t="n">
        <x:f>J110/J111*MAX(0,MIN(O$6,(J$3+J$6)/2+J111)-MAX(O$3,(J$3+J$6)/2))</x:f>
        <x:v>1210.9420897230864</x:v>
      </x:c>
      <x:c r="P119" s="40" t="n">
        <x:f>J110/J111*MAX(0,MIN(P$6,(J$3+J$6)/2+J111)-MAX(P$3,(J$3+J$6)/2))</x:f>
        <x:v>1210.9420897230864</x:v>
      </x:c>
      <x:c r="Q119" s="40" t="n">
        <x:f>J110/J111*MAX(0,MIN(Q$6,(J$3+J$6)/2+J111)-MAX(Q$3,(J$3+J$6)/2))</x:f>
        <x:v>1210.9420897230864</x:v>
      </x:c>
      <x:c r="R119" s="40" t="n">
        <x:f>J110/J111*MAX(0,MIN(R$6,(J$3+J$6)/2+J111)-MAX(R$3,(J$3+J$6)/2))</x:f>
        <x:v>1210.9420897230864</x:v>
      </x:c>
      <x:c r="S119" s="40" t="n">
        <x:f>J110/J111*MAX(0,MIN(S$6,(J$3+J$6)/2+J111)-MAX(S$3,(J$3+J$6)/2))</x:f>
        <x:v>1210.9420897230864</x:v>
      </x:c>
    </x:row>
    <x:row r="120" ht="20" customHeight="1">
      <x:c r="A120" s="3"/>
      <x:c r="B120" s="3"/>
      <x:c r="C120" s="3" t="str">
        <x:v>D&amp;A nakładów 2033E</x:v>
      </x:c>
      <x:c r="D120" s="40" t="n">
        <x:f>0</x:f>
        <x:v>0</x:v>
      </x:c>
      <x:c r="E120" s="40" t="n">
        <x:f>0</x:f>
        <x:v>0</x:v>
      </x:c>
      <x:c r="F120" s="40" t="n">
        <x:f>0</x:f>
        <x:v>0</x:v>
      </x:c>
      <x:c r="G120" s="40" t="n">
        <x:f>0</x:f>
        <x:v>0</x:v>
      </x:c>
      <x:c r="H120" s="40" t="n">
        <x:f>0</x:f>
        <x:v>0</x:v>
      </x:c>
      <x:c r="I120" s="40" t="n">
        <x:f>0</x:f>
        <x:v>0</x:v>
      </x:c>
      <x:c r="J120" s="40" t="n">
        <x:f>0</x:f>
        <x:v>0</x:v>
      </x:c>
      <x:c r="K120" s="40" t="n">
        <x:f>K110/K111*MAX(0,MIN(K$6,(K$3+K$6)/2+K111)-MAX(K$3,(K$3+K$6)/2))</x:f>
        <x:v>663.6441275408145</x:v>
      </x:c>
      <x:c r="L120" s="40" t="n">
        <x:f>K110/K111*MAX(0,MIN(L$6,(K$3+K$6)/2+K111)-MAX(L$3,(K$3+K$6)/2))</x:f>
        <x:v>1327.288255081629</x:v>
      </x:c>
      <x:c r="M120" s="40" t="n">
        <x:f>K110/K111*MAX(0,MIN(M$6,(K$3+K$6)/2+K111)-MAX(M$3,(K$3+K$6)/2))</x:f>
        <x:v>1327.288255081629</x:v>
      </x:c>
      <x:c r="N120" s="40" t="n">
        <x:f>K110/K111*MAX(0,MIN(N$6,(K$3+K$6)/2+K111)-MAX(N$3,(K$3+K$6)/2))</x:f>
        <x:v>1327.288255081629</x:v>
      </x:c>
      <x:c r="O120" s="40" t="n">
        <x:f>K110/K111*MAX(0,MIN(O$6,(K$3+K$6)/2+K111)-MAX(O$3,(K$3+K$6)/2))</x:f>
        <x:v>1327.288255081629</x:v>
      </x:c>
      <x:c r="P120" s="40" t="n">
        <x:f>K110/K111*MAX(0,MIN(P$6,(K$3+K$6)/2+K111)-MAX(P$3,(K$3+K$6)/2))</x:f>
        <x:v>1327.288255081629</x:v>
      </x:c>
      <x:c r="Q120" s="40" t="n">
        <x:f>K110/K111*MAX(0,MIN(Q$6,(K$3+K$6)/2+K111)-MAX(Q$3,(K$3+K$6)/2))</x:f>
        <x:v>1327.288255081629</x:v>
      </x:c>
      <x:c r="R120" s="40" t="n">
        <x:f>K110/K111*MAX(0,MIN(R$6,(K$3+K$6)/2+K111)-MAX(R$3,(K$3+K$6)/2))</x:f>
        <x:v>1327.288255081629</x:v>
      </x:c>
      <x:c r="S120" s="40" t="n">
        <x:f>K110/K111*MAX(0,MIN(S$6,(K$3+K$6)/2+K111)-MAX(S$3,(K$3+K$6)/2))</x:f>
        <x:v>1327.288255081629</x:v>
      </x:c>
    </x:row>
    <x:row r="121" ht="20" customHeight="1">
      <x:c r="A121" s="3"/>
      <x:c r="B121" s="3"/>
      <x:c r="C121" s="3" t="str">
        <x:v>D&amp;A nakładów 2034E</x:v>
      </x:c>
      <x:c r="D121" s="40" t="n">
        <x:f>0</x:f>
        <x:v>0</x:v>
      </x:c>
      <x:c r="E121" s="40" t="n">
        <x:f>0</x:f>
        <x:v>0</x:v>
      </x:c>
      <x:c r="F121" s="40" t="n">
        <x:f>0</x:f>
        <x:v>0</x:v>
      </x:c>
      <x:c r="G121" s="40" t="n">
        <x:f>0</x:f>
        <x:v>0</x:v>
      </x:c>
      <x:c r="H121" s="40" t="n">
        <x:f>0</x:f>
        <x:v>0</x:v>
      </x:c>
      <x:c r="I121" s="40" t="n">
        <x:f>0</x:f>
        <x:v>0</x:v>
      </x:c>
      <x:c r="J121" s="40" t="n">
        <x:f>0</x:f>
        <x:v>0</x:v>
      </x:c>
      <x:c r="K121" s="40" t="n">
        <x:f>0</x:f>
        <x:v>0</x:v>
      </x:c>
      <x:c r="L121" s="40" t="n">
        <x:f>L110/L111*MAX(0,MIN(L$6,(L$3+L$6)/2+L111)-MAX(L$3,(L$3+L$6)/2))</x:f>
        <x:v>727.406424728573</x:v>
      </x:c>
      <x:c r="M121" s="40" t="n">
        <x:f>L110/L111*MAX(0,MIN(M$6,(L$3+L$6)/2+L111)-MAX(M$3,(L$3+L$6)/2))</x:f>
        <x:v>1454.812849457146</x:v>
      </x:c>
      <x:c r="N121" s="40" t="n">
        <x:f>L110/L111*MAX(0,MIN(N$6,(L$3+L$6)/2+L111)-MAX(N$3,(L$3+L$6)/2))</x:f>
        <x:v>1454.812849457146</x:v>
      </x:c>
      <x:c r="O121" s="40" t="n">
        <x:f>L110/L111*MAX(0,MIN(O$6,(L$3+L$6)/2+L111)-MAX(O$3,(L$3+L$6)/2))</x:f>
        <x:v>1454.812849457146</x:v>
      </x:c>
      <x:c r="P121" s="40" t="n">
        <x:f>L110/L111*MAX(0,MIN(P$6,(L$3+L$6)/2+L111)-MAX(P$3,(L$3+L$6)/2))</x:f>
        <x:v>1454.812849457146</x:v>
      </x:c>
      <x:c r="Q121" s="40" t="n">
        <x:f>L110/L111*MAX(0,MIN(Q$6,(L$3+L$6)/2+L111)-MAX(Q$3,(L$3+L$6)/2))</x:f>
        <x:v>1454.812849457146</x:v>
      </x:c>
      <x:c r="R121" s="40" t="n">
        <x:f>L110/L111*MAX(0,MIN(R$6,(L$3+L$6)/2+L111)-MAX(R$3,(L$3+L$6)/2))</x:f>
        <x:v>1454.812849457146</x:v>
      </x:c>
      <x:c r="S121" s="40" t="n">
        <x:f>L110/L111*MAX(0,MIN(S$6,(L$3+L$6)/2+L111)-MAX(S$3,(L$3+L$6)/2))</x:f>
        <x:v>1454.812849457146</x:v>
      </x:c>
    </x:row>
    <x:row r="122" ht="20" customHeight="1">
      <x:c r="A122" s="3"/>
      <x:c r="B122" s="3"/>
      <x:c r="C122" s="3" t="str">
        <x:v>D&amp;A nakładów 2035E</x:v>
      </x:c>
      <x:c r="D122" s="40" t="n">
        <x:f>0</x:f>
        <x:v>0</x:v>
      </x:c>
      <x:c r="E122" s="40" t="n">
        <x:f>0</x:f>
        <x:v>0</x:v>
      </x:c>
      <x:c r="F122" s="40" t="n">
        <x:f>0</x:f>
        <x:v>0</x:v>
      </x:c>
      <x:c r="G122" s="40" t="n">
        <x:f>0</x:f>
        <x:v>0</x:v>
      </x:c>
      <x:c r="H122" s="40" t="n">
        <x:f>0</x:f>
        <x:v>0</x:v>
      </x:c>
      <x:c r="I122" s="40" t="n">
        <x:f>0</x:f>
        <x:v>0</x:v>
      </x:c>
      <x:c r="J122" s="40" t="n">
        <x:f>0</x:f>
        <x:v>0</x:v>
      </x:c>
      <x:c r="K122" s="40" t="n">
        <x:f>0</x:f>
        <x:v>0</x:v>
      </x:c>
      <x:c r="L122" s="40" t="n">
        <x:f>0</x:f>
        <x:v>0</x:v>
      </x:c>
      <x:c r="M122" s="40" t="n">
        <x:f>M110/M111*MAX(0,MIN(M$6,(M$3+M$6)/2+M111)-MAX(M$3,(M$3+M$6)/2))</x:f>
        <x:v>797.2949428439939</x:v>
      </x:c>
      <x:c r="N122" s="40" t="n">
        <x:f>M110/M111*MAX(0,MIN(N$6,(M$3+M$6)/2+M111)-MAX(N$3,(M$3+M$6)/2))</x:f>
        <x:v>1594.5898856879878</x:v>
      </x:c>
      <x:c r="O122" s="40" t="n">
        <x:f>M110/M111*MAX(0,MIN(O$6,(M$3+M$6)/2+M111)-MAX(O$3,(M$3+M$6)/2))</x:f>
        <x:v>1594.5898856879878</x:v>
      </x:c>
      <x:c r="P122" s="40" t="n">
        <x:f>M110/M111*MAX(0,MIN(P$6,(M$3+M$6)/2+M111)-MAX(P$3,(M$3+M$6)/2))</x:f>
        <x:v>1594.5898856879878</x:v>
      </x:c>
      <x:c r="Q122" s="40" t="n">
        <x:f>M110/M111*MAX(0,MIN(Q$6,(M$3+M$6)/2+M111)-MAX(Q$3,(M$3+M$6)/2))</x:f>
        <x:v>1594.5898856879878</x:v>
      </x:c>
      <x:c r="R122" s="40" t="n">
        <x:f>M110/M111*MAX(0,MIN(R$6,(M$3+M$6)/2+M111)-MAX(R$3,(M$3+M$6)/2))</x:f>
        <x:v>1594.5898856879878</x:v>
      </x:c>
      <x:c r="S122" s="40" t="n">
        <x:f>M110/M111*MAX(0,MIN(S$6,(M$3+M$6)/2+M111)-MAX(S$3,(M$3+M$6)/2))</x:f>
        <x:v>1594.5898856879878</x:v>
      </x:c>
    </x:row>
    <x:row r="123" ht="20" customHeight="1">
      <x:c r="A123" s="3"/>
      <x:c r="B123" s="3"/>
      <x:c r="C123" s="3" t="str">
        <x:v>D&amp;A nakładów 2036E</x:v>
      </x:c>
      <x:c r="D123" s="40" t="n">
        <x:f>0</x:f>
        <x:v>0</x:v>
      </x:c>
      <x:c r="E123" s="40" t="n">
        <x:f>0</x:f>
        <x:v>0</x:v>
      </x:c>
      <x:c r="F123" s="40" t="n">
        <x:f>0</x:f>
        <x:v>0</x:v>
      </x:c>
      <x:c r="G123" s="40" t="n">
        <x:f>0</x:f>
        <x:v>0</x:v>
      </x:c>
      <x:c r="H123" s="40" t="n">
        <x:f>0</x:f>
        <x:v>0</x:v>
      </x:c>
      <x:c r="I123" s="40" t="n">
        <x:f>0</x:f>
        <x:v>0</x:v>
      </x:c>
      <x:c r="J123" s="40" t="n">
        <x:f>0</x:f>
        <x:v>0</x:v>
      </x:c>
      <x:c r="K123" s="40" t="n">
        <x:f>0</x:f>
        <x:v>0</x:v>
      </x:c>
      <x:c r="L123" s="40" t="n">
        <x:f>0</x:f>
        <x:v>0</x:v>
      </x:c>
      <x:c r="M123" s="40" t="n">
        <x:f>0</x:f>
        <x:v>0</x:v>
      </x:c>
      <x:c r="N123" s="40" t="n">
        <x:f>N110/N111*MAX(0,MIN(N$6,(N$3+N$6)/2+N111)-MAX(N$3,(N$3+N$6)/2))</x:f>
        <x:v>644.9611793204955</x:v>
      </x:c>
      <x:c r="O123" s="40" t="n">
        <x:f>N110/N111*MAX(0,MIN(O$6,(N$3+N$6)/2+N111)-MAX(O$3,(N$3+N$6)/2))</x:f>
        <x:v>1289.922358640991</x:v>
      </x:c>
      <x:c r="P123" s="40" t="n">
        <x:f>N110/N111*MAX(0,MIN(P$6,(N$3+N$6)/2+N111)-MAX(P$3,(N$3+N$6)/2))</x:f>
        <x:v>1289.922358640991</x:v>
      </x:c>
      <x:c r="Q123" s="40" t="n">
        <x:f>N110/N111*MAX(0,MIN(Q$6,(N$3+N$6)/2+N111)-MAX(Q$3,(N$3+N$6)/2))</x:f>
        <x:v>1289.922358640991</x:v>
      </x:c>
      <x:c r="R123" s="40" t="n">
        <x:f>N110/N111*MAX(0,MIN(R$6,(N$3+N$6)/2+N111)-MAX(R$3,(N$3+N$6)/2))</x:f>
        <x:v>1289.922358640991</x:v>
      </x:c>
      <x:c r="S123" s="40" t="n">
        <x:f>N110/N111*MAX(0,MIN(S$6,(N$3+N$6)/2+N111)-MAX(S$3,(N$3+N$6)/2))</x:f>
        <x:v>1289.922358640991</x:v>
      </x:c>
    </x:row>
    <x:row r="124" ht="20" customHeight="1">
      <x:c r="A124" s="3"/>
      <x:c r="B124" s="3"/>
      <x:c r="C124" s="3" t="str">
        <x:v>D&amp;A nakładów 2037E</x:v>
      </x:c>
      <x:c r="D124" s="40" t="n">
        <x:f>0</x:f>
        <x:v>0</x:v>
      </x:c>
      <x:c r="E124" s="40" t="n">
        <x:f>0</x:f>
        <x:v>0</x:v>
      </x:c>
      <x:c r="F124" s="40" t="n">
        <x:f>0</x:f>
        <x:v>0</x:v>
      </x:c>
      <x:c r="G124" s="40" t="n">
        <x:f>0</x:f>
        <x:v>0</x:v>
      </x:c>
      <x:c r="H124" s="40" t="n">
        <x:f>0</x:f>
        <x:v>0</x:v>
      </x:c>
      <x:c r="I124" s="40" t="n">
        <x:f>0</x:f>
        <x:v>0</x:v>
      </x:c>
      <x:c r="J124" s="40" t="n">
        <x:f>0</x:f>
        <x:v>0</x:v>
      </x:c>
      <x:c r="K124" s="40" t="n">
        <x:f>0</x:f>
        <x:v>0</x:v>
      </x:c>
      <x:c r="L124" s="40" t="n">
        <x:f>0</x:f>
        <x:v>0</x:v>
      </x:c>
      <x:c r="M124" s="40" t="n">
        <x:f>0</x:f>
        <x:v>0</x:v>
      </x:c>
      <x:c r="N124" s="40" t="n">
        <x:f>0</x:f>
        <x:v>0</x:v>
      </x:c>
      <x:c r="O124" s="40" t="n">
        <x:f>O110/O111*MAX(0,MIN(O$6,(O$3+O$6)/2+O111)-MAX(O$3,(O$3+O$6)/2))</x:f>
        <x:v>662.1144269646757</x:v>
      </x:c>
      <x:c r="P124" s="40" t="n">
        <x:f>O110/O111*MAX(0,MIN(P$6,(O$3+O$6)/2+O111)-MAX(P$3,(O$3+O$6)/2))</x:f>
        <x:v>1324.2288539293513</x:v>
      </x:c>
      <x:c r="Q124" s="40" t="n">
        <x:f>O110/O111*MAX(0,MIN(Q$6,(O$3+O$6)/2+O111)-MAX(Q$3,(O$3+O$6)/2))</x:f>
        <x:v>1324.2288539293513</x:v>
      </x:c>
      <x:c r="R124" s="40" t="n">
        <x:f>O110/O111*MAX(0,MIN(R$6,(O$3+O$6)/2+O111)-MAX(R$3,(O$3+O$6)/2))</x:f>
        <x:v>1324.2288539293513</x:v>
      </x:c>
      <x:c r="S124" s="40" t="n">
        <x:f>O110/O111*MAX(0,MIN(S$6,(O$3+O$6)/2+O111)-MAX(S$3,(O$3+O$6)/2))</x:f>
        <x:v>1324.2288539293513</x:v>
      </x:c>
    </x:row>
    <x:row r="125" ht="20" customHeight="1">
      <x:c r="A125" s="3"/>
      <x:c r="B125" s="3"/>
      <x:c r="C125" s="3" t="str">
        <x:v>D&amp;A nakładów 2038E</x:v>
      </x:c>
      <x:c r="D125" s="40" t="n">
        <x:f>0</x:f>
        <x:v>0</x:v>
      </x:c>
      <x:c r="E125" s="40" t="n">
        <x:f>0</x:f>
        <x:v>0</x:v>
      </x:c>
      <x:c r="F125" s="40" t="n">
        <x:f>0</x:f>
        <x:v>0</x:v>
      </x:c>
      <x:c r="G125" s="40" t="n">
        <x:f>0</x:f>
        <x:v>0</x:v>
      </x:c>
      <x:c r="H125" s="40" t="n">
        <x:f>0</x:f>
        <x:v>0</x:v>
      </x:c>
      <x:c r="I125" s="40" t="n">
        <x:f>0</x:f>
        <x:v>0</x:v>
      </x:c>
      <x:c r="J125" s="40" t="n">
        <x:f>0</x:f>
        <x:v>0</x:v>
      </x:c>
      <x:c r="K125" s="40" t="n">
        <x:f>0</x:f>
        <x:v>0</x:v>
      </x:c>
      <x:c r="L125" s="40" t="n">
        <x:f>0</x:f>
        <x:v>0</x:v>
      </x:c>
      <x:c r="M125" s="40" t="n">
        <x:f>0</x:f>
        <x:v>0</x:v>
      </x:c>
      <x:c r="N125" s="40" t="n">
        <x:f>0</x:f>
        <x:v>0</x:v>
      </x:c>
      <x:c r="O125" s="40" t="n">
        <x:f>0</x:f>
        <x:v>0</x:v>
      </x:c>
      <x:c r="P125" s="40" t="n">
        <x:f>P110/P111*MAX(0,MIN(P$6,(P$3+P$6)/2+P111)-MAX(P$3,(P$3+P$6)/2))</x:f>
        <x:v>679.7238786629549</x:v>
      </x:c>
      <x:c r="Q125" s="40" t="n">
        <x:f>P110/P111*MAX(0,MIN(Q$6,(P$3+P$6)/2+P111)-MAX(Q$3,(P$3+P$6)/2))</x:f>
        <x:v>1359.4477573259098</x:v>
      </x:c>
      <x:c r="R125" s="40" t="n">
        <x:f>P110/P111*MAX(0,MIN(R$6,(P$3+P$6)/2+P111)-MAX(R$3,(P$3+P$6)/2))</x:f>
        <x:v>1359.4477573259098</x:v>
      </x:c>
      <x:c r="S125" s="40" t="n">
        <x:f>P110/P111*MAX(0,MIN(S$6,(P$3+P$6)/2+P111)-MAX(S$3,(P$3+P$6)/2))</x:f>
        <x:v>1359.4477573259098</x:v>
      </x:c>
    </x:row>
    <x:row r="126" ht="20" customHeight="1">
      <x:c r="A126" s="3"/>
      <x:c r="B126" s="3"/>
      <x:c r="C126" s="3" t="str">
        <x:v>D&amp;A nakładów 2039E</x:v>
      </x:c>
      <x:c r="D126" s="40" t="n">
        <x:f>0</x:f>
        <x:v>0</x:v>
      </x:c>
      <x:c r="E126" s="40" t="n">
        <x:f>0</x:f>
        <x:v>0</x:v>
      </x:c>
      <x:c r="F126" s="40" t="n">
        <x:f>0</x:f>
        <x:v>0</x:v>
      </x:c>
      <x:c r="G126" s="40" t="n">
        <x:f>0</x:f>
        <x:v>0</x:v>
      </x:c>
      <x:c r="H126" s="40" t="n">
        <x:f>0</x:f>
        <x:v>0</x:v>
      </x:c>
      <x:c r="I126" s="40" t="n">
        <x:f>0</x:f>
        <x:v>0</x:v>
      </x:c>
      <x:c r="J126" s="40" t="n">
        <x:f>0</x:f>
        <x:v>0</x:v>
      </x:c>
      <x:c r="K126" s="40" t="n">
        <x:f>0</x:f>
        <x:v>0</x:v>
      </x:c>
      <x:c r="L126" s="40" t="n">
        <x:f>0</x:f>
        <x:v>0</x:v>
      </x:c>
      <x:c r="M126" s="40" t="n">
        <x:f>0</x:f>
        <x:v>0</x:v>
      </x:c>
      <x:c r="N126" s="40" t="n">
        <x:f>0</x:f>
        <x:v>0</x:v>
      </x:c>
      <x:c r="O126" s="40" t="n">
        <x:f>0</x:f>
        <x:v>0</x:v>
      </x:c>
      <x:c r="P126" s="40" t="n">
        <x:f>0</x:f>
        <x:v>0</x:v>
      </x:c>
      <x:c r="Q126" s="40" t="n">
        <x:f>Q110/Q111*MAX(0,MIN(Q$6,(Q$3+Q$6)/2+Q111)-MAX(Q$3,(Q$3+Q$6)/2))</x:f>
        <x:v>697.8016675194136</x:v>
      </x:c>
      <x:c r="R126" s="40" t="n">
        <x:f>Q110/Q111*MAX(0,MIN(R$6,(Q$3+Q$6)/2+Q111)-MAX(R$3,(Q$3+Q$6)/2))</x:f>
        <x:v>1395.6033350388273</x:v>
      </x:c>
      <x:c r="S126" s="40" t="n">
        <x:f>Q110/Q111*MAX(0,MIN(S$6,(Q$3+Q$6)/2+Q111)-MAX(S$3,(Q$3+Q$6)/2))</x:f>
        <x:v>1395.6033350388273</x:v>
      </x:c>
    </x:row>
    <x:row r="127" ht="20" customHeight="1">
      <x:c r="A127" s="3"/>
      <x:c r="B127" s="3"/>
      <x:c r="C127" s="3" t="str">
        <x:v>D&amp;A nakładów 2040E</x:v>
      </x:c>
      <x:c r="D127" s="40" t="n">
        <x:f>0</x:f>
        <x:v>0</x:v>
      </x:c>
      <x:c r="E127" s="40" t="n">
        <x:f>0</x:f>
        <x:v>0</x:v>
      </x:c>
      <x:c r="F127" s="40" t="n">
        <x:f>0</x:f>
        <x:v>0</x:v>
      </x:c>
      <x:c r="G127" s="40" t="n">
        <x:f>0</x:f>
        <x:v>0</x:v>
      </x:c>
      <x:c r="H127" s="40" t="n">
        <x:f>0</x:f>
        <x:v>0</x:v>
      </x:c>
      <x:c r="I127" s="40" t="n">
        <x:f>0</x:f>
        <x:v>0</x:v>
      </x:c>
      <x:c r="J127" s="40" t="n">
        <x:f>0</x:f>
        <x:v>0</x:v>
      </x:c>
      <x:c r="K127" s="40" t="n">
        <x:f>0</x:f>
        <x:v>0</x:v>
      </x:c>
      <x:c r="L127" s="40" t="n">
        <x:f>0</x:f>
        <x:v>0</x:v>
      </x:c>
      <x:c r="M127" s="40" t="n">
        <x:f>0</x:f>
        <x:v>0</x:v>
      </x:c>
      <x:c r="N127" s="40" t="n">
        <x:f>0</x:f>
        <x:v>0</x:v>
      </x:c>
      <x:c r="O127" s="40" t="n">
        <x:f>0</x:f>
        <x:v>0</x:v>
      </x:c>
      <x:c r="P127" s="40" t="n">
        <x:f>0</x:f>
        <x:v>0</x:v>
      </x:c>
      <x:c r="Q127" s="40" t="n">
        <x:f>0</x:f>
        <x:v>0</x:v>
      </x:c>
      <x:c r="R127" s="40" t="n">
        <x:f>R110/R111*MAX(0,MIN(R$6,(R$3+R$6)/2+R111)-MAX(R$3,(R$3+R$6)/2))</x:f>
        <x:v>716.3602493275363</x:v>
      </x:c>
      <x:c r="S127" s="40" t="n">
        <x:f>R110/R111*MAX(0,MIN(S$6,(R$3+R$6)/2+R111)-MAX(S$3,(R$3+R$6)/2))</x:f>
        <x:v>1432.7204986550726</x:v>
      </x:c>
    </x:row>
    <x:row r="128" ht="20" customHeight="1">
      <x:c r="A128" s="3"/>
      <x:c r="B128" s="3"/>
      <x:c r="C128" s="3" t="str">
        <x:v>D&amp;A nakładów 2041E</x:v>
      </x:c>
      <x:c r="D128" s="40" t="n">
        <x:f>0</x:f>
        <x:v>0</x:v>
      </x:c>
      <x:c r="E128" s="40" t="n">
        <x:f>0</x:f>
        <x:v>0</x:v>
      </x:c>
      <x:c r="F128" s="40" t="n">
        <x:f>0</x:f>
        <x:v>0</x:v>
      </x:c>
      <x:c r="G128" s="40" t="n">
        <x:f>0</x:f>
        <x:v>0</x:v>
      </x:c>
      <x:c r="H128" s="40" t="n">
        <x:f>0</x:f>
        <x:v>0</x:v>
      </x:c>
      <x:c r="I128" s="40" t="n">
        <x:f>0</x:f>
        <x:v>0</x:v>
      </x:c>
      <x:c r="J128" s="40" t="n">
        <x:f>0</x:f>
        <x:v>0</x:v>
      </x:c>
      <x:c r="K128" s="40" t="n">
        <x:f>0</x:f>
        <x:v>0</x:v>
      </x:c>
      <x:c r="L128" s="40" t="n">
        <x:f>0</x:f>
        <x:v>0</x:v>
      </x:c>
      <x:c r="M128" s="40" t="n">
        <x:f>0</x:f>
        <x:v>0</x:v>
      </x:c>
      <x:c r="N128" s="40" t="n">
        <x:f>0</x:f>
        <x:v>0</x:v>
      </x:c>
      <x:c r="O128" s="40" t="n">
        <x:f>0</x:f>
        <x:v>0</x:v>
      </x:c>
      <x:c r="P128" s="40" t="n">
        <x:f>0</x:f>
        <x:v>0</x:v>
      </x:c>
      <x:c r="Q128" s="40" t="n">
        <x:f>0</x:f>
        <x:v>0</x:v>
      </x:c>
      <x:c r="R128" s="40" t="n">
        <x:f>0</x:f>
        <x:v>0</x:v>
      </x:c>
      <x:c r="S128" s="40" t="n">
        <x:f>S110/S111*MAX(0,MIN(S$6,(S$3+S$6)/2+S111)-MAX(S$3,(S$3+S$6)/2))</x:f>
        <x:v>735.4124111523888</x:v>
      </x:c>
    </x:row>
    <x:row r="129" ht="23" customHeight="1">
      <x:c r="A129" s="3"/>
      <x:c r="B129" s="3"/>
      <x:c r="C129" s="45" t="str">
        <x:v>D&amp;A razem</x:v>
      </x:c>
      <x:c r="D129" s="46" t="n">
        <x:f>SUM(D112:D128)</x:f>
        <x:v>182.62326388888889</x:v>
      </x:c>
      <x:c r="E129" s="46" t="n">
        <x:f>SUM(E112:E128)</x:f>
        <x:v>1120.0458451051186</x:v>
      </x:c>
      <x:c r="F129" s="46" t="n">
        <x:f>SUM(F112:F128)</x:f>
        <x:v>1766.4021563073065</x:v>
      </x:c>
      <x:c r="G129" s="46" t="n">
        <x:f>SUM(G112:G128)</x:f>
        <x:v>2734.85756248862</x:v>
      </x:c>
      <x:c r="H129" s="46" t="n">
        <x:f>SUM(H112:H128)</x:f>
        <x:v>4185.923882267193</x:v>
      </x:c>
      <x:c r="I129" s="46" t="n">
        <x:f>SUM(I112:I128)</x:f>
        <x:v>5608.5730601841315</x:v>
      </x:c>
      <x:c r="J129" s="46" t="n">
        <x:f>SUM(J112:J128)</x:f>
        <x:v>6766.441347712729</x:v>
      </x:c>
      <x:c r="K129" s="46" t="n">
        <x:f>SUM(K112:K128)</x:f>
        <x:v>8035.556520115087</x:v>
      </x:c>
      <x:c r="L129" s="46" t="n">
        <x:f>SUM(L112:L128)</x:f>
        <x:v>9426.607072384475</x:v>
      </x:c>
      <x:c r="M129" s="46" t="n">
        <x:f>SUM(M112:M128)</x:f>
        <x:v>10951.308439957042</x:v>
      </x:c>
      <x:c r="N129" s="46" t="n">
        <x:f>SUM(N112:N128)</x:f>
        <x:v>12393.564562121532</x:v>
      </x:c>
      <x:c r="O129" s="46" t="n">
        <x:f>SUM(O112:O128)</x:f>
        <x:v>13700.640168406704</x:v>
      </x:c>
      <x:c r="P129" s="46" t="n">
        <x:f>SUM(P112:P128)</x:f>
        <x:v>15042.478474034335</x:v>
      </x:c>
      <x:c r="Q129" s="46" t="n">
        <x:f>SUM(Q112:Q128)</x:f>
        <x:v>16420.004020216704</x:v>
      </x:c>
      <x:c r="R129" s="46" t="n">
        <x:f>SUM(R112:R128)</x:f>
        <x:v>17834.16593706365</x:v>
      </x:c>
      <x:c r="S129" s="46" t="n">
        <x:f>SUM(S112:S128)</x:f>
        <x:v>19285.938597543576</x:v>
      </x:c>
    </x:row>
    <x:row r="130" ht="23" customHeight="1">
      <x:c r="A130" s="3"/>
      <x:c r="B130" s="3"/>
      <x:c r="C130" s="45" t="str">
        <x:v>Wartość netto na koniec</x:v>
      </x:c>
      <x:c r="D130" s="46" t="n">
        <x:f>SUM(D109:D110)-D129</x:f>
        <x:v>15844.67673611111</x:v>
      </x:c>
      <x:c r="E130" s="46" t="n">
        <x:f>SUM(E109:E110)-E129</x:f>
        <x:v>25073.242472988506</x:v>
      </x:c>
      <x:c r="F130" s="46" t="n">
        <x:f>SUM(F109:F110)-F129</x:f>
        <x:v>38812.4811827862</x:v>
      </x:c>
      <x:c r="G130" s="46" t="n">
        <x:f>SUM(G109:G110)-G129</x:f>
        <x:v>59310.19900144512</x:v>
      </x:c>
      <x:c r="H130" s="46" t="n">
        <x:f>SUM(H109:H110)-H129</x:f>
        <x:v>89934.35252917332</x:v>
      </x:c>
      <x:c r="I130" s="46" t="n">
        <x:f>SUM(I109:I110)-I129</x:f>
        <x:v>106421.66917567134</x:v>
      </x:c>
      <x:c r="J130" s="46" t="n">
        <x:f>SUM(J109:J110)-J129</x:f>
        <x:v>123874.06962242034</x:v>
      </x:c>
      <x:c r="K130" s="46" t="n">
        <x:f>SUM(K109:K110)-K129</x:f>
        <x:v>142384.27820393784</x:v>
      </x:c>
      <x:c r="L130" s="46" t="n">
        <x:f>SUM(L109:L110)-L129</x:f>
        <x:v>162053.92812069628</x:v>
      </x:c>
      <x:c r="M130" s="46" t="n">
        <x:f>SUM(M109:M110)-M129</x:f>
        <x:v>182994.417394499</x:v>
      </x:c>
      <x:c r="N130" s="46" t="n">
        <x:f>SUM(N109:N110)-N129</x:f>
        <x:v>196399.3000051973</x:v>
      </x:c>
      <x:c r="O130" s="46" t="n">
        <x:f>SUM(O109:O110)-O129</x:f>
        <x:v>209183.2369153776</x:v>
      </x:c>
      <x:c r="P130" s="46" t="n">
        <x:f>SUM(P109:P110)-P129</x:f>
        <x:v>221329.71358786145</x:v>
      </x:c>
      <x:c r="Q130" s="46" t="n">
        <x:f>SUM(Q109:Q110)-Q129</x:f>
        <x:v>232821.7762684213</x:v>
      </x:c>
      <x:c r="R130" s="46" t="n">
        <x:f>SUM(R109:R110)-R129</x:f>
        <x:v>243642.0203044591</x:v>
      </x:c>
      <x:c r="S130" s="46" t="n">
        <x:f>SUM(S109:S110)-S129</x:f>
        <x:v>253772.5781530111</x:v>
      </x:c>
    </x:row>
    <x:row r="131" ht="20" customHeight="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  <x:c r="Q131" s="3"/>
      <x:c r="R131" s="3"/>
      <x:c r="S131" s="3"/>
    </x:row>
    <x:row r="132" ht="20" customHeight="1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  <x:c r="Q132" s="3"/>
      <x:c r="R132" s="3"/>
      <x:c r="S132" s="3"/>
    </x:row>
    <x:row r="133" ht="23" customHeight="1">
      <x:c r="A133" s="3"/>
      <x:c r="B133" s="3"/>
      <x:c r="C133" s="17" t="str">
        <x:v>Aktywa niematerialne</x:v>
      </x:c>
      <x:c r="D133" s="17"/>
      <x:c r="E133" s="17"/>
      <x:c r="F133" s="17"/>
      <x:c r="G133" s="17"/>
      <x:c r="H133" s="17"/>
      <x:c r="I133" s="17"/>
      <x:c r="J133" s="17"/>
      <x:c r="K133" s="17"/>
      <x:c r="L133" s="17"/>
      <x:c r="M133" s="17"/>
      <x:c r="N133" s="17"/>
      <x:c r="O133" s="17"/>
      <x:c r="P133" s="17"/>
      <x:c r="Q133" s="17"/>
      <x:c r="R133" s="17"/>
      <x:c r="S133" s="17"/>
    </x:row>
    <x:row r="134" ht="20" customHeight="1">
      <x:c r="A134" s="3"/>
      <x:c r="B134" s="3"/>
      <x:c r="C134" s="3" t="str">
        <x:v>Wartość netto na początek</x:v>
      </x:c>
      <x:c r="D134" s="38" t="n">
        <x:f>'Założenia'!$D$209</x:f>
        <x:v>6354</x:v>
      </x:c>
      <x:c r="E134" s="40" t="n">
        <x:f>D155</x:f>
        <x:v>6036.3</x:v>
      </x:c>
      <x:c r="F134" s="40" t="n">
        <x:f>E155</x:f>
        <x:v>9598.833333333332</x:v>
      </x:c>
      <x:c r="G134" s="40" t="n">
        <x:f>F155</x:f>
        <x:v>7994.699999999999</x:v>
      </x:c>
      <x:c r="H134" s="40" t="n">
        <x:f>G155</x:f>
        <x:v>6390.566666666666</x:v>
      </x:c>
      <x:c r="I134" s="40" t="n">
        <x:f>H155</x:f>
        <x:v>4786.4333333333325</x:v>
      </x:c>
      <x:c r="J134" s="40" t="n">
        <x:f>I155</x:f>
        <x:v>3499.999999999999</x:v>
      </x:c>
      <x:c r="K134" s="40" t="n">
        <x:f>J155</x:f>
        <x:v>3166.6666666666656</x:v>
      </x:c>
      <x:c r="L134" s="40" t="n">
        <x:f>K155</x:f>
        <x:v>2833.333333333332</x:v>
      </x:c>
      <x:c r="M134" s="40" t="n">
        <x:f>L155</x:f>
        <x:v>2499.9999999999986</x:v>
      </x:c>
      <x:c r="N134" s="40" t="n">
        <x:f>M155</x:f>
        <x:v>2166.666666666665</x:v>
      </x:c>
      <x:c r="O134" s="40" t="n">
        <x:f>N155</x:f>
        <x:v>1833.333333333332</x:v>
      </x:c>
      <x:c r="P134" s="40" t="n">
        <x:f>O155</x:f>
        <x:v>1499.9999999999986</x:v>
      </x:c>
      <x:c r="Q134" s="40" t="n">
        <x:f>P155</x:f>
        <x:v>1166.6666666666654</x:v>
      </x:c>
      <x:c r="R134" s="40" t="n">
        <x:f>Q155</x:f>
        <x:v>833.3333333333321</x:v>
      </x:c>
      <x:c r="S134" s="40" t="n">
        <x:f>R155</x:f>
        <x:v>499.9999999999988</x:v>
      </x:c>
    </x:row>
    <x:row r="135" ht="20" customHeight="1">
      <x:c r="A135" s="3"/>
      <x:c r="B135" s="3"/>
      <x:c r="C135" s="3" t="str">
        <x:v>Aktywa oddane do użycia</x:v>
      </x:c>
      <x:c r="D135" s="38" t="n">
        <x:f>'Operacje'!D66</x:f>
        <x:v>0</x:v>
      </x:c>
      <x:c r="E135" s="38" t="n">
        <x:f>'Operacje'!E66</x:f>
        <x:v>5000</x:v>
      </x:c>
      <x:c r="F135" s="38" t="n">
        <x:f>'Operacje'!F66</x:f>
        <x:v>0</x:v>
      </x:c>
      <x:c r="G135" s="38" t="n">
        <x:f>'Operacje'!G66</x:f>
        <x:v>0</x:v>
      </x:c>
      <x:c r="H135" s="38" t="n">
        <x:f>'Operacje'!H66</x:f>
        <x:v>0</x:v>
      </x:c>
      <x:c r="I135" s="38" t="n">
        <x:f>'Operacje'!I66</x:f>
        <x:v>0</x:v>
      </x:c>
      <x:c r="J135" s="38" t="n">
        <x:f>'Operacje'!J66</x:f>
        <x:v>0</x:v>
      </x:c>
      <x:c r="K135" s="38" t="n">
        <x:f>'Operacje'!K66</x:f>
        <x:v>0</x:v>
      </x:c>
      <x:c r="L135" s="38" t="n">
        <x:f>'Operacje'!L66</x:f>
        <x:v>0</x:v>
      </x:c>
      <x:c r="M135" s="38" t="n">
        <x:f>'Operacje'!M66</x:f>
        <x:v>0</x:v>
      </x:c>
      <x:c r="N135" s="38" t="n">
        <x:f>'Operacje'!N66</x:f>
        <x:v>0</x:v>
      </x:c>
      <x:c r="O135" s="38" t="n">
        <x:f>'Operacje'!O66</x:f>
        <x:v>0</x:v>
      </x:c>
      <x:c r="P135" s="38" t="n">
        <x:f>'Operacje'!P66</x:f>
        <x:v>0</x:v>
      </x:c>
      <x:c r="Q135" s="38" t="n">
        <x:f>'Operacje'!Q66</x:f>
        <x:v>0</x:v>
      </x:c>
      <x:c r="R135" s="38" t="n">
        <x:f>'Operacje'!R66</x:f>
        <x:v>0</x:v>
      </x:c>
      <x:c r="S135" s="38" t="n">
        <x:f>'Operacje'!S66</x:f>
        <x:v>0</x:v>
      </x:c>
    </x:row>
    <x:row r="136" ht="20" customHeight="1">
      <x:c r="A136" s="3"/>
      <x:c r="B136" s="3"/>
      <x:c r="C136" s="3" t="str">
        <x:v>Żywotność nowych aktywów (lata)</x:v>
      </x:c>
      <x:c r="D136" s="38" t="n">
        <x:f>'Założenia'!$D$199</x:f>
        <x:v>15</x:v>
      </x:c>
      <x:c r="E136" s="38" t="n">
        <x:f>'Założenia'!$D$199</x:f>
        <x:v>15</x:v>
      </x:c>
      <x:c r="F136" s="38" t="n">
        <x:f>'Założenia'!$D$199</x:f>
        <x:v>15</x:v>
      </x:c>
      <x:c r="G136" s="38" t="n">
        <x:f>'Założenia'!$D$199</x:f>
        <x:v>15</x:v>
      </x:c>
      <x:c r="H136" s="38" t="n">
        <x:f>'Założenia'!$D$199</x:f>
        <x:v>15</x:v>
      </x:c>
      <x:c r="I136" s="38" t="n">
        <x:f>'Założenia'!$D$199</x:f>
        <x:v>15</x:v>
      </x:c>
      <x:c r="J136" s="38" t="n">
        <x:f>'Założenia'!$D$199</x:f>
        <x:v>15</x:v>
      </x:c>
      <x:c r="K136" s="38" t="n">
        <x:f>'Założenia'!$D$199</x:f>
        <x:v>15</x:v>
      </x:c>
      <x:c r="L136" s="38" t="n">
        <x:f>'Założenia'!$D$199</x:f>
        <x:v>15</x:v>
      </x:c>
      <x:c r="M136" s="38" t="n">
        <x:f>'Założenia'!$D$199</x:f>
        <x:v>15</x:v>
      </x:c>
      <x:c r="N136" s="38" t="n">
        <x:f>'Założenia'!$D$199</x:f>
        <x:v>15</x:v>
      </x:c>
      <x:c r="O136" s="38" t="n">
        <x:f>'Założenia'!$D$199</x:f>
        <x:v>15</x:v>
      </x:c>
      <x:c r="P136" s="38" t="n">
        <x:f>'Założenia'!$D$199</x:f>
        <x:v>15</x:v>
      </x:c>
      <x:c r="Q136" s="38" t="n">
        <x:f>'Założenia'!$D$199</x:f>
        <x:v>15</x:v>
      </x:c>
      <x:c r="R136" s="38" t="n">
        <x:f>'Założenia'!$D$199</x:f>
        <x:v>15</x:v>
      </x:c>
      <x:c r="S136" s="38" t="n">
        <x:f>'Założenia'!$D$199</x:f>
        <x:v>15</x:v>
      </x:c>
    </x:row>
    <x:row r="137" ht="20" customHeight="1">
      <x:c r="A137" s="3"/>
      <x:c r="B137" s="3"/>
      <x:c r="C137" s="3" t="str">
        <x:v>D&amp;A aktywów początkowych</x:v>
      </x:c>
      <x:c r="D137" s="38" t="n">
        <x:f>'Założenia'!$D$209/'Założenia'!$E$209*MAX(0,MIN(D$6,'Założenia'!$E$209)-MAX(D$3,0))</x:f>
        <x:v>317.7</x:v>
      </x:c>
      <x:c r="E137" s="38" t="n">
        <x:f>'Założenia'!$D$209/'Założenia'!$E$209*MAX(0,MIN(E$6,'Założenia'!$E$209)-MAX(E$3,0))</x:f>
        <x:v>1270.8</x:v>
      </x:c>
      <x:c r="F137" s="38" t="n">
        <x:f>'Założenia'!$D$209/'Założenia'!$E$209*MAX(0,MIN(F$6,'Założenia'!$E$209)-MAX(F$3,0))</x:f>
        <x:v>1270.8</x:v>
      </x:c>
      <x:c r="G137" s="38" t="n">
        <x:f>'Założenia'!$D$209/'Założenia'!$E$209*MAX(0,MIN(G$6,'Założenia'!$E$209)-MAX(G$3,0))</x:f>
        <x:v>1270.8</x:v>
      </x:c>
      <x:c r="H137" s="38" t="n">
        <x:f>'Założenia'!$D$209/'Założenia'!$E$209*MAX(0,MIN(H$6,'Założenia'!$E$209)-MAX(H$3,0))</x:f>
        <x:v>1270.8</x:v>
      </x:c>
      <x:c r="I137" s="38" t="n">
        <x:f>'Założenia'!$D$209/'Założenia'!$E$209*MAX(0,MIN(I$6,'Założenia'!$E$209)-MAX(I$3,0))</x:f>
        <x:v>953.0999999999999</x:v>
      </x:c>
      <x:c r="J137" s="38" t="n">
        <x:f>'Założenia'!$D$209/'Założenia'!$E$209*MAX(0,MIN(J$6,'Założenia'!$E$209)-MAX(J$3,0))</x:f>
        <x:v>0</x:v>
      </x:c>
      <x:c r="K137" s="38" t="n">
        <x:f>'Założenia'!$D$209/'Założenia'!$E$209*MAX(0,MIN(K$6,'Założenia'!$E$209)-MAX(K$3,0))</x:f>
        <x:v>0</x:v>
      </x:c>
      <x:c r="L137" s="38" t="n">
        <x:f>'Założenia'!$D$209/'Założenia'!$E$209*MAX(0,MIN(L$6,'Założenia'!$E$209)-MAX(L$3,0))</x:f>
        <x:v>0</x:v>
      </x:c>
      <x:c r="M137" s="38" t="n">
        <x:f>'Założenia'!$D$209/'Założenia'!$E$209*MAX(0,MIN(M$6,'Założenia'!$E$209)-MAX(M$3,0))</x:f>
        <x:v>0</x:v>
      </x:c>
      <x:c r="N137" s="38" t="n">
        <x:f>'Założenia'!$D$209/'Założenia'!$E$209*MAX(0,MIN(N$6,'Założenia'!$E$209)-MAX(N$3,0))</x:f>
        <x:v>0</x:v>
      </x:c>
      <x:c r="O137" s="38" t="n">
        <x:f>'Założenia'!$D$209/'Założenia'!$E$209*MAX(0,MIN(O$6,'Założenia'!$E$209)-MAX(O$3,0))</x:f>
        <x:v>0</x:v>
      </x:c>
      <x:c r="P137" s="38" t="n">
        <x:f>'Założenia'!$D$209/'Założenia'!$E$209*MAX(0,MIN(P$6,'Założenia'!$E$209)-MAX(P$3,0))</x:f>
        <x:v>0</x:v>
      </x:c>
      <x:c r="Q137" s="38" t="n">
        <x:f>'Założenia'!$D$209/'Założenia'!$E$209*MAX(0,MIN(Q$6,'Założenia'!$E$209)-MAX(Q$3,0))</x:f>
        <x:v>0</x:v>
      </x:c>
      <x:c r="R137" s="38" t="n">
        <x:f>'Założenia'!$D$209/'Założenia'!$E$209*MAX(0,MIN(R$6,'Założenia'!$E$209)-MAX(R$3,0))</x:f>
        <x:v>0</x:v>
      </x:c>
      <x:c r="S137" s="38" t="n">
        <x:f>'Założenia'!$D$209/'Założenia'!$E$209*MAX(0,MIN(S$6,'Założenia'!$E$209)-MAX(S$3,0))</x:f>
        <x:v>0</x:v>
      </x:c>
    </x:row>
    <x:row r="138" ht="20" customHeight="1">
      <x:c r="A138" s="3"/>
      <x:c r="B138" s="3"/>
      <x:c r="C138" s="3" t="str">
        <x:v>D&amp;A nakładów Q4:26E</x:v>
      </x:c>
      <x:c r="D138" s="40" t="n">
        <x:f>D135/D136*MAX(0,MIN(D$6,(D$3+D$6)/2+D136)-MAX(D$3,(D$3+D$6)/2))</x:f>
        <x:v>0</x:v>
      </x:c>
      <x:c r="E138" s="40" t="n">
        <x:f>D135/D136*MAX(0,MIN(E$6,(D$3+D$6)/2+D136)-MAX(E$3,(D$3+D$6)/2))</x:f>
        <x:v>0</x:v>
      </x:c>
      <x:c r="F138" s="40" t="n">
        <x:f>D135/D136*MAX(0,MIN(F$6,(D$3+D$6)/2+D136)-MAX(F$3,(D$3+D$6)/2))</x:f>
        <x:v>0</x:v>
      </x:c>
      <x:c r="G138" s="40" t="n">
        <x:f>D135/D136*MAX(0,MIN(G$6,(D$3+D$6)/2+D136)-MAX(G$3,(D$3+D$6)/2))</x:f>
        <x:v>0</x:v>
      </x:c>
      <x:c r="H138" s="40" t="n">
        <x:f>D135/D136*MAX(0,MIN(H$6,(D$3+D$6)/2+D136)-MAX(H$3,(D$3+D$6)/2))</x:f>
        <x:v>0</x:v>
      </x:c>
      <x:c r="I138" s="40" t="n">
        <x:f>D135/D136*MAX(0,MIN(I$6,(D$3+D$6)/2+D136)-MAX(I$3,(D$3+D$6)/2))</x:f>
        <x:v>0</x:v>
      </x:c>
      <x:c r="J138" s="40" t="n">
        <x:f>D135/D136*MAX(0,MIN(J$6,(D$3+D$6)/2+D136)-MAX(J$3,(D$3+D$6)/2))</x:f>
        <x:v>0</x:v>
      </x:c>
      <x:c r="K138" s="40" t="n">
        <x:f>D135/D136*MAX(0,MIN(K$6,(D$3+D$6)/2+D136)-MAX(K$3,(D$3+D$6)/2))</x:f>
        <x:v>0</x:v>
      </x:c>
      <x:c r="L138" s="40" t="n">
        <x:f>D135/D136*MAX(0,MIN(L$6,(D$3+D$6)/2+D136)-MAX(L$3,(D$3+D$6)/2))</x:f>
        <x:v>0</x:v>
      </x:c>
      <x:c r="M138" s="40" t="n">
        <x:f>D135/D136*MAX(0,MIN(M$6,(D$3+D$6)/2+D136)-MAX(M$3,(D$3+D$6)/2))</x:f>
        <x:v>0</x:v>
      </x:c>
      <x:c r="N138" s="40" t="n">
        <x:f>D135/D136*MAX(0,MIN(N$6,(D$3+D$6)/2+D136)-MAX(N$3,(D$3+D$6)/2))</x:f>
        <x:v>0</x:v>
      </x:c>
      <x:c r="O138" s="40" t="n">
        <x:f>D135/D136*MAX(0,MIN(O$6,(D$3+D$6)/2+D136)-MAX(O$3,(D$3+D$6)/2))</x:f>
        <x:v>0</x:v>
      </x:c>
      <x:c r="P138" s="40" t="n">
        <x:f>D135/D136*MAX(0,MIN(P$6,(D$3+D$6)/2+D136)-MAX(P$3,(D$3+D$6)/2))</x:f>
        <x:v>0</x:v>
      </x:c>
      <x:c r="Q138" s="40" t="n">
        <x:f>D135/D136*MAX(0,MIN(Q$6,(D$3+D$6)/2+D136)-MAX(Q$3,(D$3+D$6)/2))</x:f>
        <x:v>0</x:v>
      </x:c>
      <x:c r="R138" s="40" t="n">
        <x:f>D135/D136*MAX(0,MIN(R$6,(D$3+D$6)/2+D136)-MAX(R$3,(D$3+D$6)/2))</x:f>
        <x:v>0</x:v>
      </x:c>
      <x:c r="S138" s="40" t="n">
        <x:f>D135/D136*MAX(0,MIN(S$6,(D$3+D$6)/2+D136)-MAX(S$3,(D$3+D$6)/2))</x:f>
        <x:v>0</x:v>
      </x:c>
    </x:row>
    <x:row r="139" ht="20" customHeight="1">
      <x:c r="A139" s="3"/>
      <x:c r="B139" s="3"/>
      <x:c r="C139" s="3" t="str">
        <x:v>D&amp;A nakładów 2027E</x:v>
      </x:c>
      <x:c r="D139" s="40" t="n">
        <x:f>0</x:f>
        <x:v>0</x:v>
      </x:c>
      <x:c r="E139" s="40" t="n">
        <x:f>E135/E136*MAX(0,MIN(E$6,(E$3+E$6)/2+E136)-MAX(E$3,(E$3+E$6)/2))</x:f>
        <x:v>166.66666666666666</x:v>
      </x:c>
      <x:c r="F139" s="40" t="n">
        <x:f>E135/E136*MAX(0,MIN(F$6,(E$3+E$6)/2+E136)-MAX(F$3,(E$3+E$6)/2))</x:f>
        <x:v>333.3333333333333</x:v>
      </x:c>
      <x:c r="G139" s="40" t="n">
        <x:f>E135/E136*MAX(0,MIN(G$6,(E$3+E$6)/2+E136)-MAX(G$3,(E$3+E$6)/2))</x:f>
        <x:v>333.3333333333333</x:v>
      </x:c>
      <x:c r="H139" s="40" t="n">
        <x:f>E135/E136*MAX(0,MIN(H$6,(E$3+E$6)/2+E136)-MAX(H$3,(E$3+E$6)/2))</x:f>
        <x:v>333.3333333333333</x:v>
      </x:c>
      <x:c r="I139" s="40" t="n">
        <x:f>E135/E136*MAX(0,MIN(I$6,(E$3+E$6)/2+E136)-MAX(I$3,(E$3+E$6)/2))</x:f>
        <x:v>333.3333333333333</x:v>
      </x:c>
      <x:c r="J139" s="40" t="n">
        <x:f>E135/E136*MAX(0,MIN(J$6,(E$3+E$6)/2+E136)-MAX(J$3,(E$3+E$6)/2))</x:f>
        <x:v>333.3333333333333</x:v>
      </x:c>
      <x:c r="K139" s="40" t="n">
        <x:f>E135/E136*MAX(0,MIN(K$6,(E$3+E$6)/2+E136)-MAX(K$3,(E$3+E$6)/2))</x:f>
        <x:v>333.3333333333333</x:v>
      </x:c>
      <x:c r="L139" s="40" t="n">
        <x:f>E135/E136*MAX(0,MIN(L$6,(E$3+E$6)/2+E136)-MAX(L$3,(E$3+E$6)/2))</x:f>
        <x:v>333.3333333333333</x:v>
      </x:c>
      <x:c r="M139" s="40" t="n">
        <x:f>E135/E136*MAX(0,MIN(M$6,(E$3+E$6)/2+E136)-MAX(M$3,(E$3+E$6)/2))</x:f>
        <x:v>333.3333333333333</x:v>
      </x:c>
      <x:c r="N139" s="40" t="n">
        <x:f>E135/E136*MAX(0,MIN(N$6,(E$3+E$6)/2+E136)-MAX(N$3,(E$3+E$6)/2))</x:f>
        <x:v>333.3333333333333</x:v>
      </x:c>
      <x:c r="O139" s="40" t="n">
        <x:f>E135/E136*MAX(0,MIN(O$6,(E$3+E$6)/2+E136)-MAX(O$3,(E$3+E$6)/2))</x:f>
        <x:v>333.3333333333333</x:v>
      </x:c>
      <x:c r="P139" s="40" t="n">
        <x:f>E135/E136*MAX(0,MIN(P$6,(E$3+E$6)/2+E136)-MAX(P$3,(E$3+E$6)/2))</x:f>
        <x:v>333.3333333333333</x:v>
      </x:c>
      <x:c r="Q139" s="40" t="n">
        <x:f>E135/E136*MAX(0,MIN(Q$6,(E$3+E$6)/2+E136)-MAX(Q$3,(E$3+E$6)/2))</x:f>
        <x:v>333.3333333333333</x:v>
      </x:c>
      <x:c r="R139" s="40" t="n">
        <x:f>E135/E136*MAX(0,MIN(R$6,(E$3+E$6)/2+E136)-MAX(R$3,(E$3+E$6)/2))</x:f>
        <x:v>333.3333333333333</x:v>
      </x:c>
      <x:c r="S139" s="40" t="n">
        <x:f>E135/E136*MAX(0,MIN(S$6,(E$3+E$6)/2+E136)-MAX(S$3,(E$3+E$6)/2))</x:f>
        <x:v>333.3333333333333</x:v>
      </x:c>
    </x:row>
    <x:row r="140" ht="20" customHeight="1">
      <x:c r="A140" s="3"/>
      <x:c r="B140" s="3"/>
      <x:c r="C140" s="3" t="str">
        <x:v>D&amp;A nakładów 2028E</x:v>
      </x:c>
      <x:c r="D140" s="40" t="n">
        <x:f>0</x:f>
        <x:v>0</x:v>
      </x:c>
      <x:c r="E140" s="40" t="n">
        <x:f>0</x:f>
        <x:v>0</x:v>
      </x:c>
      <x:c r="F140" s="40" t="n">
        <x:f>F135/F136*MAX(0,MIN(F$6,(F$3+F$6)/2+F136)-MAX(F$3,(F$3+F$6)/2))</x:f>
        <x:v>0</x:v>
      </x:c>
      <x:c r="G140" s="40" t="n">
        <x:f>F135/F136*MAX(0,MIN(G$6,(F$3+F$6)/2+F136)-MAX(G$3,(F$3+F$6)/2))</x:f>
        <x:v>0</x:v>
      </x:c>
      <x:c r="H140" s="40" t="n">
        <x:f>F135/F136*MAX(0,MIN(H$6,(F$3+F$6)/2+F136)-MAX(H$3,(F$3+F$6)/2))</x:f>
        <x:v>0</x:v>
      </x:c>
      <x:c r="I140" s="40" t="n">
        <x:f>F135/F136*MAX(0,MIN(I$6,(F$3+F$6)/2+F136)-MAX(I$3,(F$3+F$6)/2))</x:f>
        <x:v>0</x:v>
      </x:c>
      <x:c r="J140" s="40" t="n">
        <x:f>F135/F136*MAX(0,MIN(J$6,(F$3+F$6)/2+F136)-MAX(J$3,(F$3+F$6)/2))</x:f>
        <x:v>0</x:v>
      </x:c>
      <x:c r="K140" s="40" t="n">
        <x:f>F135/F136*MAX(0,MIN(K$6,(F$3+F$6)/2+F136)-MAX(K$3,(F$3+F$6)/2))</x:f>
        <x:v>0</x:v>
      </x:c>
      <x:c r="L140" s="40" t="n">
        <x:f>F135/F136*MAX(0,MIN(L$6,(F$3+F$6)/2+F136)-MAX(L$3,(F$3+F$6)/2))</x:f>
        <x:v>0</x:v>
      </x:c>
      <x:c r="M140" s="40" t="n">
        <x:f>F135/F136*MAX(0,MIN(M$6,(F$3+F$6)/2+F136)-MAX(M$3,(F$3+F$6)/2))</x:f>
        <x:v>0</x:v>
      </x:c>
      <x:c r="N140" s="40" t="n">
        <x:f>F135/F136*MAX(0,MIN(N$6,(F$3+F$6)/2+F136)-MAX(N$3,(F$3+F$6)/2))</x:f>
        <x:v>0</x:v>
      </x:c>
      <x:c r="O140" s="40" t="n">
        <x:f>F135/F136*MAX(0,MIN(O$6,(F$3+F$6)/2+F136)-MAX(O$3,(F$3+F$6)/2))</x:f>
        <x:v>0</x:v>
      </x:c>
      <x:c r="P140" s="40" t="n">
        <x:f>F135/F136*MAX(0,MIN(P$6,(F$3+F$6)/2+F136)-MAX(P$3,(F$3+F$6)/2))</x:f>
        <x:v>0</x:v>
      </x:c>
      <x:c r="Q140" s="40" t="n">
        <x:f>F135/F136*MAX(0,MIN(Q$6,(F$3+F$6)/2+F136)-MAX(Q$3,(F$3+F$6)/2))</x:f>
        <x:v>0</x:v>
      </x:c>
      <x:c r="R140" s="40" t="n">
        <x:f>F135/F136*MAX(0,MIN(R$6,(F$3+F$6)/2+F136)-MAX(R$3,(F$3+F$6)/2))</x:f>
        <x:v>0</x:v>
      </x:c>
      <x:c r="S140" s="40" t="n">
        <x:f>F135/F136*MAX(0,MIN(S$6,(F$3+F$6)/2+F136)-MAX(S$3,(F$3+F$6)/2))</x:f>
        <x:v>0</x:v>
      </x:c>
    </x:row>
    <x:row r="141" ht="20" customHeight="1">
      <x:c r="A141" s="3"/>
      <x:c r="B141" s="3"/>
      <x:c r="C141" s="3" t="str">
        <x:v>D&amp;A nakładów 2029E</x:v>
      </x:c>
      <x:c r="D141" s="40" t="n">
        <x:f>0</x:f>
        <x:v>0</x:v>
      </x:c>
      <x:c r="E141" s="40" t="n">
        <x:f>0</x:f>
        <x:v>0</x:v>
      </x:c>
      <x:c r="F141" s="40" t="n">
        <x:f>0</x:f>
        <x:v>0</x:v>
      </x:c>
      <x:c r="G141" s="40" t="n">
        <x:f>G135/G136*MAX(0,MIN(G$6,(G$3+G$6)/2+G136)-MAX(G$3,(G$3+G$6)/2))</x:f>
        <x:v>0</x:v>
      </x:c>
      <x:c r="H141" s="40" t="n">
        <x:f>G135/G136*MAX(0,MIN(H$6,(G$3+G$6)/2+G136)-MAX(H$3,(G$3+G$6)/2))</x:f>
        <x:v>0</x:v>
      </x:c>
      <x:c r="I141" s="40" t="n">
        <x:f>G135/G136*MAX(0,MIN(I$6,(G$3+G$6)/2+G136)-MAX(I$3,(G$3+G$6)/2))</x:f>
        <x:v>0</x:v>
      </x:c>
      <x:c r="J141" s="40" t="n">
        <x:f>G135/G136*MAX(0,MIN(J$6,(G$3+G$6)/2+G136)-MAX(J$3,(G$3+G$6)/2))</x:f>
        <x:v>0</x:v>
      </x:c>
      <x:c r="K141" s="40" t="n">
        <x:f>G135/G136*MAX(0,MIN(K$6,(G$3+G$6)/2+G136)-MAX(K$3,(G$3+G$6)/2))</x:f>
        <x:v>0</x:v>
      </x:c>
      <x:c r="L141" s="40" t="n">
        <x:f>G135/G136*MAX(0,MIN(L$6,(G$3+G$6)/2+G136)-MAX(L$3,(G$3+G$6)/2))</x:f>
        <x:v>0</x:v>
      </x:c>
      <x:c r="M141" s="40" t="n">
        <x:f>G135/G136*MAX(0,MIN(M$6,(G$3+G$6)/2+G136)-MAX(M$3,(G$3+G$6)/2))</x:f>
        <x:v>0</x:v>
      </x:c>
      <x:c r="N141" s="40" t="n">
        <x:f>G135/G136*MAX(0,MIN(N$6,(G$3+G$6)/2+G136)-MAX(N$3,(G$3+G$6)/2))</x:f>
        <x:v>0</x:v>
      </x:c>
      <x:c r="O141" s="40" t="n">
        <x:f>G135/G136*MAX(0,MIN(O$6,(G$3+G$6)/2+G136)-MAX(O$3,(G$3+G$6)/2))</x:f>
        <x:v>0</x:v>
      </x:c>
      <x:c r="P141" s="40" t="n">
        <x:f>G135/G136*MAX(0,MIN(P$6,(G$3+G$6)/2+G136)-MAX(P$3,(G$3+G$6)/2))</x:f>
        <x:v>0</x:v>
      </x:c>
      <x:c r="Q141" s="40" t="n">
        <x:f>G135/G136*MAX(0,MIN(Q$6,(G$3+G$6)/2+G136)-MAX(Q$3,(G$3+G$6)/2))</x:f>
        <x:v>0</x:v>
      </x:c>
      <x:c r="R141" s="40" t="n">
        <x:f>G135/G136*MAX(0,MIN(R$6,(G$3+G$6)/2+G136)-MAX(R$3,(G$3+G$6)/2))</x:f>
        <x:v>0</x:v>
      </x:c>
      <x:c r="S141" s="40" t="n">
        <x:f>G135/G136*MAX(0,MIN(S$6,(G$3+G$6)/2+G136)-MAX(S$3,(G$3+G$6)/2))</x:f>
        <x:v>0</x:v>
      </x:c>
    </x:row>
    <x:row r="142" ht="20" customHeight="1">
      <x:c r="A142" s="3"/>
      <x:c r="B142" s="3"/>
      <x:c r="C142" s="3" t="str">
        <x:v>D&amp;A nakładów 2030E</x:v>
      </x:c>
      <x:c r="D142" s="40" t="n">
        <x:f>0</x:f>
        <x:v>0</x:v>
      </x:c>
      <x:c r="E142" s="40" t="n">
        <x:f>0</x:f>
        <x:v>0</x:v>
      </x:c>
      <x:c r="F142" s="40" t="n">
        <x:f>0</x:f>
        <x:v>0</x:v>
      </x:c>
      <x:c r="G142" s="40" t="n">
        <x:f>0</x:f>
        <x:v>0</x:v>
      </x:c>
      <x:c r="H142" s="40" t="n">
        <x:f>H135/H136*MAX(0,MIN(H$6,(H$3+H$6)/2+H136)-MAX(H$3,(H$3+H$6)/2))</x:f>
        <x:v>0</x:v>
      </x:c>
      <x:c r="I142" s="40" t="n">
        <x:f>H135/H136*MAX(0,MIN(I$6,(H$3+H$6)/2+H136)-MAX(I$3,(H$3+H$6)/2))</x:f>
        <x:v>0</x:v>
      </x:c>
      <x:c r="J142" s="40" t="n">
        <x:f>H135/H136*MAX(0,MIN(J$6,(H$3+H$6)/2+H136)-MAX(J$3,(H$3+H$6)/2))</x:f>
        <x:v>0</x:v>
      </x:c>
      <x:c r="K142" s="40" t="n">
        <x:f>H135/H136*MAX(0,MIN(K$6,(H$3+H$6)/2+H136)-MAX(K$3,(H$3+H$6)/2))</x:f>
        <x:v>0</x:v>
      </x:c>
      <x:c r="L142" s="40" t="n">
        <x:f>H135/H136*MAX(0,MIN(L$6,(H$3+H$6)/2+H136)-MAX(L$3,(H$3+H$6)/2))</x:f>
        <x:v>0</x:v>
      </x:c>
      <x:c r="M142" s="40" t="n">
        <x:f>H135/H136*MAX(0,MIN(M$6,(H$3+H$6)/2+H136)-MAX(M$3,(H$3+H$6)/2))</x:f>
        <x:v>0</x:v>
      </x:c>
      <x:c r="N142" s="40" t="n">
        <x:f>H135/H136*MAX(0,MIN(N$6,(H$3+H$6)/2+H136)-MAX(N$3,(H$3+H$6)/2))</x:f>
        <x:v>0</x:v>
      </x:c>
      <x:c r="O142" s="40" t="n">
        <x:f>H135/H136*MAX(0,MIN(O$6,(H$3+H$6)/2+H136)-MAX(O$3,(H$3+H$6)/2))</x:f>
        <x:v>0</x:v>
      </x:c>
      <x:c r="P142" s="40" t="n">
        <x:f>H135/H136*MAX(0,MIN(P$6,(H$3+H$6)/2+H136)-MAX(P$3,(H$3+H$6)/2))</x:f>
        <x:v>0</x:v>
      </x:c>
      <x:c r="Q142" s="40" t="n">
        <x:f>H135/H136*MAX(0,MIN(Q$6,(H$3+H$6)/2+H136)-MAX(Q$3,(H$3+H$6)/2))</x:f>
        <x:v>0</x:v>
      </x:c>
      <x:c r="R142" s="40" t="n">
        <x:f>H135/H136*MAX(0,MIN(R$6,(H$3+H$6)/2+H136)-MAX(R$3,(H$3+H$6)/2))</x:f>
        <x:v>0</x:v>
      </x:c>
      <x:c r="S142" s="40" t="n">
        <x:f>H135/H136*MAX(0,MIN(S$6,(H$3+H$6)/2+H136)-MAX(S$3,(H$3+H$6)/2))</x:f>
        <x:v>0</x:v>
      </x:c>
    </x:row>
    <x:row r="143" ht="20" customHeight="1">
      <x:c r="A143" s="3"/>
      <x:c r="B143" s="3"/>
      <x:c r="C143" s="3" t="str">
        <x:v>D&amp;A nakładów 2031E</x:v>
      </x:c>
      <x:c r="D143" s="40" t="n">
        <x:f>0</x:f>
        <x:v>0</x:v>
      </x:c>
      <x:c r="E143" s="40" t="n">
        <x:f>0</x:f>
        <x:v>0</x:v>
      </x:c>
      <x:c r="F143" s="40" t="n">
        <x:f>0</x:f>
        <x:v>0</x:v>
      </x:c>
      <x:c r="G143" s="40" t="n">
        <x:f>0</x:f>
        <x:v>0</x:v>
      </x:c>
      <x:c r="H143" s="40" t="n">
        <x:f>0</x:f>
        <x:v>0</x:v>
      </x:c>
      <x:c r="I143" s="40" t="n">
        <x:f>I135/I136*MAX(0,MIN(I$6,(I$3+I$6)/2+I136)-MAX(I$3,(I$3+I$6)/2))</x:f>
        <x:v>0</x:v>
      </x:c>
      <x:c r="J143" s="40" t="n">
        <x:f>I135/I136*MAX(0,MIN(J$6,(I$3+I$6)/2+I136)-MAX(J$3,(I$3+I$6)/2))</x:f>
        <x:v>0</x:v>
      </x:c>
      <x:c r="K143" s="40" t="n">
        <x:f>I135/I136*MAX(0,MIN(K$6,(I$3+I$6)/2+I136)-MAX(K$3,(I$3+I$6)/2))</x:f>
        <x:v>0</x:v>
      </x:c>
      <x:c r="L143" s="40" t="n">
        <x:f>I135/I136*MAX(0,MIN(L$6,(I$3+I$6)/2+I136)-MAX(L$3,(I$3+I$6)/2))</x:f>
        <x:v>0</x:v>
      </x:c>
      <x:c r="M143" s="40" t="n">
        <x:f>I135/I136*MAX(0,MIN(M$6,(I$3+I$6)/2+I136)-MAX(M$3,(I$3+I$6)/2))</x:f>
        <x:v>0</x:v>
      </x:c>
      <x:c r="N143" s="40" t="n">
        <x:f>I135/I136*MAX(0,MIN(N$6,(I$3+I$6)/2+I136)-MAX(N$3,(I$3+I$6)/2))</x:f>
        <x:v>0</x:v>
      </x:c>
      <x:c r="O143" s="40" t="n">
        <x:f>I135/I136*MAX(0,MIN(O$6,(I$3+I$6)/2+I136)-MAX(O$3,(I$3+I$6)/2))</x:f>
        <x:v>0</x:v>
      </x:c>
      <x:c r="P143" s="40" t="n">
        <x:f>I135/I136*MAX(0,MIN(P$6,(I$3+I$6)/2+I136)-MAX(P$3,(I$3+I$6)/2))</x:f>
        <x:v>0</x:v>
      </x:c>
      <x:c r="Q143" s="40" t="n">
        <x:f>I135/I136*MAX(0,MIN(Q$6,(I$3+I$6)/2+I136)-MAX(Q$3,(I$3+I$6)/2))</x:f>
        <x:v>0</x:v>
      </x:c>
      <x:c r="R143" s="40" t="n">
        <x:f>I135/I136*MAX(0,MIN(R$6,(I$3+I$6)/2+I136)-MAX(R$3,(I$3+I$6)/2))</x:f>
        <x:v>0</x:v>
      </x:c>
      <x:c r="S143" s="40" t="n">
        <x:f>I135/I136*MAX(0,MIN(S$6,(I$3+I$6)/2+I136)-MAX(S$3,(I$3+I$6)/2))</x:f>
        <x:v>0</x:v>
      </x:c>
    </x:row>
    <x:row r="144" ht="20" customHeight="1">
      <x:c r="A144" s="3"/>
      <x:c r="B144" s="3"/>
      <x:c r="C144" s="3" t="str">
        <x:v>D&amp;A nakładów 2032E</x:v>
      </x:c>
      <x:c r="D144" s="40" t="n">
        <x:f>0</x:f>
        <x:v>0</x:v>
      </x:c>
      <x:c r="E144" s="40" t="n">
        <x:f>0</x:f>
        <x:v>0</x:v>
      </x:c>
      <x:c r="F144" s="40" t="n">
        <x:f>0</x:f>
        <x:v>0</x:v>
      </x:c>
      <x:c r="G144" s="40" t="n">
        <x:f>0</x:f>
        <x:v>0</x:v>
      </x:c>
      <x:c r="H144" s="40" t="n">
        <x:f>0</x:f>
        <x:v>0</x:v>
      </x:c>
      <x:c r="I144" s="40" t="n">
        <x:f>0</x:f>
        <x:v>0</x:v>
      </x:c>
      <x:c r="J144" s="40" t="n">
        <x:f>J135/J136*MAX(0,MIN(J$6,(J$3+J$6)/2+J136)-MAX(J$3,(J$3+J$6)/2))</x:f>
        <x:v>0</x:v>
      </x:c>
      <x:c r="K144" s="40" t="n">
        <x:f>J135/J136*MAX(0,MIN(K$6,(J$3+J$6)/2+J136)-MAX(K$3,(J$3+J$6)/2))</x:f>
        <x:v>0</x:v>
      </x:c>
      <x:c r="L144" s="40" t="n">
        <x:f>J135/J136*MAX(0,MIN(L$6,(J$3+J$6)/2+J136)-MAX(L$3,(J$3+J$6)/2))</x:f>
        <x:v>0</x:v>
      </x:c>
      <x:c r="M144" s="40" t="n">
        <x:f>J135/J136*MAX(0,MIN(M$6,(J$3+J$6)/2+J136)-MAX(M$3,(J$3+J$6)/2))</x:f>
        <x:v>0</x:v>
      </x:c>
      <x:c r="N144" s="40" t="n">
        <x:f>J135/J136*MAX(0,MIN(N$6,(J$3+J$6)/2+J136)-MAX(N$3,(J$3+J$6)/2))</x:f>
        <x:v>0</x:v>
      </x:c>
      <x:c r="O144" s="40" t="n">
        <x:f>J135/J136*MAX(0,MIN(O$6,(J$3+J$6)/2+J136)-MAX(O$3,(J$3+J$6)/2))</x:f>
        <x:v>0</x:v>
      </x:c>
      <x:c r="P144" s="40" t="n">
        <x:f>J135/J136*MAX(0,MIN(P$6,(J$3+J$6)/2+J136)-MAX(P$3,(J$3+J$6)/2))</x:f>
        <x:v>0</x:v>
      </x:c>
      <x:c r="Q144" s="40" t="n">
        <x:f>J135/J136*MAX(0,MIN(Q$6,(J$3+J$6)/2+J136)-MAX(Q$3,(J$3+J$6)/2))</x:f>
        <x:v>0</x:v>
      </x:c>
      <x:c r="R144" s="40" t="n">
        <x:f>J135/J136*MAX(0,MIN(R$6,(J$3+J$6)/2+J136)-MAX(R$3,(J$3+J$6)/2))</x:f>
        <x:v>0</x:v>
      </x:c>
      <x:c r="S144" s="40" t="n">
        <x:f>J135/J136*MAX(0,MIN(S$6,(J$3+J$6)/2+J136)-MAX(S$3,(J$3+J$6)/2))</x:f>
        <x:v>0</x:v>
      </x:c>
    </x:row>
    <x:row r="145" ht="20" customHeight="1">
      <x:c r="A145" s="3"/>
      <x:c r="B145" s="3"/>
      <x:c r="C145" s="3" t="str">
        <x:v>D&amp;A nakładów 2033E</x:v>
      </x:c>
      <x:c r="D145" s="40" t="n">
        <x:f>0</x:f>
        <x:v>0</x:v>
      </x:c>
      <x:c r="E145" s="40" t="n">
        <x:f>0</x:f>
        <x:v>0</x:v>
      </x:c>
      <x:c r="F145" s="40" t="n">
        <x:f>0</x:f>
        <x:v>0</x:v>
      </x:c>
      <x:c r="G145" s="40" t="n">
        <x:f>0</x:f>
        <x:v>0</x:v>
      </x:c>
      <x:c r="H145" s="40" t="n">
        <x:f>0</x:f>
        <x:v>0</x:v>
      </x:c>
      <x:c r="I145" s="40" t="n">
        <x:f>0</x:f>
        <x:v>0</x:v>
      </x:c>
      <x:c r="J145" s="40" t="n">
        <x:f>0</x:f>
        <x:v>0</x:v>
      </x:c>
      <x:c r="K145" s="40" t="n">
        <x:f>K135/K136*MAX(0,MIN(K$6,(K$3+K$6)/2+K136)-MAX(K$3,(K$3+K$6)/2))</x:f>
        <x:v>0</x:v>
      </x:c>
      <x:c r="L145" s="40" t="n">
        <x:f>K135/K136*MAX(0,MIN(L$6,(K$3+K$6)/2+K136)-MAX(L$3,(K$3+K$6)/2))</x:f>
        <x:v>0</x:v>
      </x:c>
      <x:c r="M145" s="40" t="n">
        <x:f>K135/K136*MAX(0,MIN(M$6,(K$3+K$6)/2+K136)-MAX(M$3,(K$3+K$6)/2))</x:f>
        <x:v>0</x:v>
      </x:c>
      <x:c r="N145" s="40" t="n">
        <x:f>K135/K136*MAX(0,MIN(N$6,(K$3+K$6)/2+K136)-MAX(N$3,(K$3+K$6)/2))</x:f>
        <x:v>0</x:v>
      </x:c>
      <x:c r="O145" s="40" t="n">
        <x:f>K135/K136*MAX(0,MIN(O$6,(K$3+K$6)/2+K136)-MAX(O$3,(K$3+K$6)/2))</x:f>
        <x:v>0</x:v>
      </x:c>
      <x:c r="P145" s="40" t="n">
        <x:f>K135/K136*MAX(0,MIN(P$6,(K$3+K$6)/2+K136)-MAX(P$3,(K$3+K$6)/2))</x:f>
        <x:v>0</x:v>
      </x:c>
      <x:c r="Q145" s="40" t="n">
        <x:f>K135/K136*MAX(0,MIN(Q$6,(K$3+K$6)/2+K136)-MAX(Q$3,(K$3+K$6)/2))</x:f>
        <x:v>0</x:v>
      </x:c>
      <x:c r="R145" s="40" t="n">
        <x:f>K135/K136*MAX(0,MIN(R$6,(K$3+K$6)/2+K136)-MAX(R$3,(K$3+K$6)/2))</x:f>
        <x:v>0</x:v>
      </x:c>
      <x:c r="S145" s="40" t="n">
        <x:f>K135/K136*MAX(0,MIN(S$6,(K$3+K$6)/2+K136)-MAX(S$3,(K$3+K$6)/2))</x:f>
        <x:v>0</x:v>
      </x:c>
    </x:row>
    <x:row r="146" ht="20" customHeight="1">
      <x:c r="A146" s="3"/>
      <x:c r="B146" s="3"/>
      <x:c r="C146" s="3" t="str">
        <x:v>D&amp;A nakładów 2034E</x:v>
      </x:c>
      <x:c r="D146" s="40" t="n">
        <x:f>0</x:f>
        <x:v>0</x:v>
      </x:c>
      <x:c r="E146" s="40" t="n">
        <x:f>0</x:f>
        <x:v>0</x:v>
      </x:c>
      <x:c r="F146" s="40" t="n">
        <x:f>0</x:f>
        <x:v>0</x:v>
      </x:c>
      <x:c r="G146" s="40" t="n">
        <x:f>0</x:f>
        <x:v>0</x:v>
      </x:c>
      <x:c r="H146" s="40" t="n">
        <x:f>0</x:f>
        <x:v>0</x:v>
      </x:c>
      <x:c r="I146" s="40" t="n">
        <x:f>0</x:f>
        <x:v>0</x:v>
      </x:c>
      <x:c r="J146" s="40" t="n">
        <x:f>0</x:f>
        <x:v>0</x:v>
      </x:c>
      <x:c r="K146" s="40" t="n">
        <x:f>0</x:f>
        <x:v>0</x:v>
      </x:c>
      <x:c r="L146" s="40" t="n">
        <x:f>L135/L136*MAX(0,MIN(L$6,(L$3+L$6)/2+L136)-MAX(L$3,(L$3+L$6)/2))</x:f>
        <x:v>0</x:v>
      </x:c>
      <x:c r="M146" s="40" t="n">
        <x:f>L135/L136*MAX(0,MIN(M$6,(L$3+L$6)/2+L136)-MAX(M$3,(L$3+L$6)/2))</x:f>
        <x:v>0</x:v>
      </x:c>
      <x:c r="N146" s="40" t="n">
        <x:f>L135/L136*MAX(0,MIN(N$6,(L$3+L$6)/2+L136)-MAX(N$3,(L$3+L$6)/2))</x:f>
        <x:v>0</x:v>
      </x:c>
      <x:c r="O146" s="40" t="n">
        <x:f>L135/L136*MAX(0,MIN(O$6,(L$3+L$6)/2+L136)-MAX(O$3,(L$3+L$6)/2))</x:f>
        <x:v>0</x:v>
      </x:c>
      <x:c r="P146" s="40" t="n">
        <x:f>L135/L136*MAX(0,MIN(P$6,(L$3+L$6)/2+L136)-MAX(P$3,(L$3+L$6)/2))</x:f>
        <x:v>0</x:v>
      </x:c>
      <x:c r="Q146" s="40" t="n">
        <x:f>L135/L136*MAX(0,MIN(Q$6,(L$3+L$6)/2+L136)-MAX(Q$3,(L$3+L$6)/2))</x:f>
        <x:v>0</x:v>
      </x:c>
      <x:c r="R146" s="40" t="n">
        <x:f>L135/L136*MAX(0,MIN(R$6,(L$3+L$6)/2+L136)-MAX(R$3,(L$3+L$6)/2))</x:f>
        <x:v>0</x:v>
      </x:c>
      <x:c r="S146" s="40" t="n">
        <x:f>L135/L136*MAX(0,MIN(S$6,(L$3+L$6)/2+L136)-MAX(S$3,(L$3+L$6)/2))</x:f>
        <x:v>0</x:v>
      </x:c>
    </x:row>
    <x:row r="147" ht="20" customHeight="1">
      <x:c r="A147" s="3"/>
      <x:c r="B147" s="3"/>
      <x:c r="C147" s="3" t="str">
        <x:v>D&amp;A nakładów 2035E</x:v>
      </x:c>
      <x:c r="D147" s="40" t="n">
        <x:f>0</x:f>
        <x:v>0</x:v>
      </x:c>
      <x:c r="E147" s="40" t="n">
        <x:f>0</x:f>
        <x:v>0</x:v>
      </x:c>
      <x:c r="F147" s="40" t="n">
        <x:f>0</x:f>
        <x:v>0</x:v>
      </x:c>
      <x:c r="G147" s="40" t="n">
        <x:f>0</x:f>
        <x:v>0</x:v>
      </x:c>
      <x:c r="H147" s="40" t="n">
        <x:f>0</x:f>
        <x:v>0</x:v>
      </x:c>
      <x:c r="I147" s="40" t="n">
        <x:f>0</x:f>
        <x:v>0</x:v>
      </x:c>
      <x:c r="J147" s="40" t="n">
        <x:f>0</x:f>
        <x:v>0</x:v>
      </x:c>
      <x:c r="K147" s="40" t="n">
        <x:f>0</x:f>
        <x:v>0</x:v>
      </x:c>
      <x:c r="L147" s="40" t="n">
        <x:f>0</x:f>
        <x:v>0</x:v>
      </x:c>
      <x:c r="M147" s="40" t="n">
        <x:f>M135/M136*MAX(0,MIN(M$6,(M$3+M$6)/2+M136)-MAX(M$3,(M$3+M$6)/2))</x:f>
        <x:v>0</x:v>
      </x:c>
      <x:c r="N147" s="40" t="n">
        <x:f>M135/M136*MAX(0,MIN(N$6,(M$3+M$6)/2+M136)-MAX(N$3,(M$3+M$6)/2))</x:f>
        <x:v>0</x:v>
      </x:c>
      <x:c r="O147" s="40" t="n">
        <x:f>M135/M136*MAX(0,MIN(O$6,(M$3+M$6)/2+M136)-MAX(O$3,(M$3+M$6)/2))</x:f>
        <x:v>0</x:v>
      </x:c>
      <x:c r="P147" s="40" t="n">
        <x:f>M135/M136*MAX(0,MIN(P$6,(M$3+M$6)/2+M136)-MAX(P$3,(M$3+M$6)/2))</x:f>
        <x:v>0</x:v>
      </x:c>
      <x:c r="Q147" s="40" t="n">
        <x:f>M135/M136*MAX(0,MIN(Q$6,(M$3+M$6)/2+M136)-MAX(Q$3,(M$3+M$6)/2))</x:f>
        <x:v>0</x:v>
      </x:c>
      <x:c r="R147" s="40" t="n">
        <x:f>M135/M136*MAX(0,MIN(R$6,(M$3+M$6)/2+M136)-MAX(R$3,(M$3+M$6)/2))</x:f>
        <x:v>0</x:v>
      </x:c>
      <x:c r="S147" s="40" t="n">
        <x:f>M135/M136*MAX(0,MIN(S$6,(M$3+M$6)/2+M136)-MAX(S$3,(M$3+M$6)/2))</x:f>
        <x:v>0</x:v>
      </x:c>
    </x:row>
    <x:row r="148" ht="20" customHeight="1">
      <x:c r="A148" s="3"/>
      <x:c r="B148" s="3"/>
      <x:c r="C148" s="3" t="str">
        <x:v>D&amp;A nakładów 2036E</x:v>
      </x:c>
      <x:c r="D148" s="40" t="n">
        <x:f>0</x:f>
        <x:v>0</x:v>
      </x:c>
      <x:c r="E148" s="40" t="n">
        <x:f>0</x:f>
        <x:v>0</x:v>
      </x:c>
      <x:c r="F148" s="40" t="n">
        <x:f>0</x:f>
        <x:v>0</x:v>
      </x:c>
      <x:c r="G148" s="40" t="n">
        <x:f>0</x:f>
        <x:v>0</x:v>
      </x:c>
      <x:c r="H148" s="40" t="n">
        <x:f>0</x:f>
        <x:v>0</x:v>
      </x:c>
      <x:c r="I148" s="40" t="n">
        <x:f>0</x:f>
        <x:v>0</x:v>
      </x:c>
      <x:c r="J148" s="40" t="n">
        <x:f>0</x:f>
        <x:v>0</x:v>
      </x:c>
      <x:c r="K148" s="40" t="n">
        <x:f>0</x:f>
        <x:v>0</x:v>
      </x:c>
      <x:c r="L148" s="40" t="n">
        <x:f>0</x:f>
        <x:v>0</x:v>
      </x:c>
      <x:c r="M148" s="40" t="n">
        <x:f>0</x:f>
        <x:v>0</x:v>
      </x:c>
      <x:c r="N148" s="40" t="n">
        <x:f>N135/N136*MAX(0,MIN(N$6,(N$3+N$6)/2+N136)-MAX(N$3,(N$3+N$6)/2))</x:f>
        <x:v>0</x:v>
      </x:c>
      <x:c r="O148" s="40" t="n">
        <x:f>N135/N136*MAX(0,MIN(O$6,(N$3+N$6)/2+N136)-MAX(O$3,(N$3+N$6)/2))</x:f>
        <x:v>0</x:v>
      </x:c>
      <x:c r="P148" s="40" t="n">
        <x:f>N135/N136*MAX(0,MIN(P$6,(N$3+N$6)/2+N136)-MAX(P$3,(N$3+N$6)/2))</x:f>
        <x:v>0</x:v>
      </x:c>
      <x:c r="Q148" s="40" t="n">
        <x:f>N135/N136*MAX(0,MIN(Q$6,(N$3+N$6)/2+N136)-MAX(Q$3,(N$3+N$6)/2))</x:f>
        <x:v>0</x:v>
      </x:c>
      <x:c r="R148" s="40" t="n">
        <x:f>N135/N136*MAX(0,MIN(R$6,(N$3+N$6)/2+N136)-MAX(R$3,(N$3+N$6)/2))</x:f>
        <x:v>0</x:v>
      </x:c>
      <x:c r="S148" s="40" t="n">
        <x:f>N135/N136*MAX(0,MIN(S$6,(N$3+N$6)/2+N136)-MAX(S$3,(N$3+N$6)/2))</x:f>
        <x:v>0</x:v>
      </x:c>
    </x:row>
    <x:row r="149" ht="20" customHeight="1">
      <x:c r="A149" s="3"/>
      <x:c r="B149" s="3"/>
      <x:c r="C149" s="3" t="str">
        <x:v>D&amp;A nakładów 2037E</x:v>
      </x:c>
      <x:c r="D149" s="40" t="n">
        <x:f>0</x:f>
        <x:v>0</x:v>
      </x:c>
      <x:c r="E149" s="40" t="n">
        <x:f>0</x:f>
        <x:v>0</x:v>
      </x:c>
      <x:c r="F149" s="40" t="n">
        <x:f>0</x:f>
        <x:v>0</x:v>
      </x:c>
      <x:c r="G149" s="40" t="n">
        <x:f>0</x:f>
        <x:v>0</x:v>
      </x:c>
      <x:c r="H149" s="40" t="n">
        <x:f>0</x:f>
        <x:v>0</x:v>
      </x:c>
      <x:c r="I149" s="40" t="n">
        <x:f>0</x:f>
        <x:v>0</x:v>
      </x:c>
      <x:c r="J149" s="40" t="n">
        <x:f>0</x:f>
        <x:v>0</x:v>
      </x:c>
      <x:c r="K149" s="40" t="n">
        <x:f>0</x:f>
        <x:v>0</x:v>
      </x:c>
      <x:c r="L149" s="40" t="n">
        <x:f>0</x:f>
        <x:v>0</x:v>
      </x:c>
      <x:c r="M149" s="40" t="n">
        <x:f>0</x:f>
        <x:v>0</x:v>
      </x:c>
      <x:c r="N149" s="40" t="n">
        <x:f>0</x:f>
        <x:v>0</x:v>
      </x:c>
      <x:c r="O149" s="40" t="n">
        <x:f>O135/O136*MAX(0,MIN(O$6,(O$3+O$6)/2+O136)-MAX(O$3,(O$3+O$6)/2))</x:f>
        <x:v>0</x:v>
      </x:c>
      <x:c r="P149" s="40" t="n">
        <x:f>O135/O136*MAX(0,MIN(P$6,(O$3+O$6)/2+O136)-MAX(P$3,(O$3+O$6)/2))</x:f>
        <x:v>0</x:v>
      </x:c>
      <x:c r="Q149" s="40" t="n">
        <x:f>O135/O136*MAX(0,MIN(Q$6,(O$3+O$6)/2+O136)-MAX(Q$3,(O$3+O$6)/2))</x:f>
        <x:v>0</x:v>
      </x:c>
      <x:c r="R149" s="40" t="n">
        <x:f>O135/O136*MAX(0,MIN(R$6,(O$3+O$6)/2+O136)-MAX(R$3,(O$3+O$6)/2))</x:f>
        <x:v>0</x:v>
      </x:c>
      <x:c r="S149" s="40" t="n">
        <x:f>O135/O136*MAX(0,MIN(S$6,(O$3+O$6)/2+O136)-MAX(S$3,(O$3+O$6)/2))</x:f>
        <x:v>0</x:v>
      </x:c>
    </x:row>
    <x:row r="150" ht="20" customHeight="1">
      <x:c r="A150" s="3"/>
      <x:c r="B150" s="3"/>
      <x:c r="C150" s="3" t="str">
        <x:v>D&amp;A nakładów 2038E</x:v>
      </x:c>
      <x:c r="D150" s="40" t="n">
        <x:f>0</x:f>
        <x:v>0</x:v>
      </x:c>
      <x:c r="E150" s="40" t="n">
        <x:f>0</x:f>
        <x:v>0</x:v>
      </x:c>
      <x:c r="F150" s="40" t="n">
        <x:f>0</x:f>
        <x:v>0</x:v>
      </x:c>
      <x:c r="G150" s="40" t="n">
        <x:f>0</x:f>
        <x:v>0</x:v>
      </x:c>
      <x:c r="H150" s="40" t="n">
        <x:f>0</x:f>
        <x:v>0</x:v>
      </x:c>
      <x:c r="I150" s="40" t="n">
        <x:f>0</x:f>
        <x:v>0</x:v>
      </x:c>
      <x:c r="J150" s="40" t="n">
        <x:f>0</x:f>
        <x:v>0</x:v>
      </x:c>
      <x:c r="K150" s="40" t="n">
        <x:f>0</x:f>
        <x:v>0</x:v>
      </x:c>
      <x:c r="L150" s="40" t="n">
        <x:f>0</x:f>
        <x:v>0</x:v>
      </x:c>
      <x:c r="M150" s="40" t="n">
        <x:f>0</x:f>
        <x:v>0</x:v>
      </x:c>
      <x:c r="N150" s="40" t="n">
        <x:f>0</x:f>
        <x:v>0</x:v>
      </x:c>
      <x:c r="O150" s="40" t="n">
        <x:f>0</x:f>
        <x:v>0</x:v>
      </x:c>
      <x:c r="P150" s="40" t="n">
        <x:f>P135/P136*MAX(0,MIN(P$6,(P$3+P$6)/2+P136)-MAX(P$3,(P$3+P$6)/2))</x:f>
        <x:v>0</x:v>
      </x:c>
      <x:c r="Q150" s="40" t="n">
        <x:f>P135/P136*MAX(0,MIN(Q$6,(P$3+P$6)/2+P136)-MAX(Q$3,(P$3+P$6)/2))</x:f>
        <x:v>0</x:v>
      </x:c>
      <x:c r="R150" s="40" t="n">
        <x:f>P135/P136*MAX(0,MIN(R$6,(P$3+P$6)/2+P136)-MAX(R$3,(P$3+P$6)/2))</x:f>
        <x:v>0</x:v>
      </x:c>
      <x:c r="S150" s="40" t="n">
        <x:f>P135/P136*MAX(0,MIN(S$6,(P$3+P$6)/2+P136)-MAX(S$3,(P$3+P$6)/2))</x:f>
        <x:v>0</x:v>
      </x:c>
    </x:row>
    <x:row r="151" ht="20" customHeight="1">
      <x:c r="A151" s="3"/>
      <x:c r="B151" s="3"/>
      <x:c r="C151" s="3" t="str">
        <x:v>D&amp;A nakładów 2039E</x:v>
      </x:c>
      <x:c r="D151" s="40" t="n">
        <x:f>0</x:f>
        <x:v>0</x:v>
      </x:c>
      <x:c r="E151" s="40" t="n">
        <x:f>0</x:f>
        <x:v>0</x:v>
      </x:c>
      <x:c r="F151" s="40" t="n">
        <x:f>0</x:f>
        <x:v>0</x:v>
      </x:c>
      <x:c r="G151" s="40" t="n">
        <x:f>0</x:f>
        <x:v>0</x:v>
      </x:c>
      <x:c r="H151" s="40" t="n">
        <x:f>0</x:f>
        <x:v>0</x:v>
      </x:c>
      <x:c r="I151" s="40" t="n">
        <x:f>0</x:f>
        <x:v>0</x:v>
      </x:c>
      <x:c r="J151" s="40" t="n">
        <x:f>0</x:f>
        <x:v>0</x:v>
      </x:c>
      <x:c r="K151" s="40" t="n">
        <x:f>0</x:f>
        <x:v>0</x:v>
      </x:c>
      <x:c r="L151" s="40" t="n">
        <x:f>0</x:f>
        <x:v>0</x:v>
      </x:c>
      <x:c r="M151" s="40" t="n">
        <x:f>0</x:f>
        <x:v>0</x:v>
      </x:c>
      <x:c r="N151" s="40" t="n">
        <x:f>0</x:f>
        <x:v>0</x:v>
      </x:c>
      <x:c r="O151" s="40" t="n">
        <x:f>0</x:f>
        <x:v>0</x:v>
      </x:c>
      <x:c r="P151" s="40" t="n">
        <x:f>0</x:f>
        <x:v>0</x:v>
      </x:c>
      <x:c r="Q151" s="40" t="n">
        <x:f>Q135/Q136*MAX(0,MIN(Q$6,(Q$3+Q$6)/2+Q136)-MAX(Q$3,(Q$3+Q$6)/2))</x:f>
        <x:v>0</x:v>
      </x:c>
      <x:c r="R151" s="40" t="n">
        <x:f>Q135/Q136*MAX(0,MIN(R$6,(Q$3+Q$6)/2+Q136)-MAX(R$3,(Q$3+Q$6)/2))</x:f>
        <x:v>0</x:v>
      </x:c>
      <x:c r="S151" s="40" t="n">
        <x:f>Q135/Q136*MAX(0,MIN(S$6,(Q$3+Q$6)/2+Q136)-MAX(S$3,(Q$3+Q$6)/2))</x:f>
        <x:v>0</x:v>
      </x:c>
    </x:row>
    <x:row r="152" ht="20" customHeight="1">
      <x:c r="A152" s="3"/>
      <x:c r="B152" s="3"/>
      <x:c r="C152" s="3" t="str">
        <x:v>D&amp;A nakładów 2040E</x:v>
      </x:c>
      <x:c r="D152" s="40" t="n">
        <x:f>0</x:f>
        <x:v>0</x:v>
      </x:c>
      <x:c r="E152" s="40" t="n">
        <x:f>0</x:f>
        <x:v>0</x:v>
      </x:c>
      <x:c r="F152" s="40" t="n">
        <x:f>0</x:f>
        <x:v>0</x:v>
      </x:c>
      <x:c r="G152" s="40" t="n">
        <x:f>0</x:f>
        <x:v>0</x:v>
      </x:c>
      <x:c r="H152" s="40" t="n">
        <x:f>0</x:f>
        <x:v>0</x:v>
      </x:c>
      <x:c r="I152" s="40" t="n">
        <x:f>0</x:f>
        <x:v>0</x:v>
      </x:c>
      <x:c r="J152" s="40" t="n">
        <x:f>0</x:f>
        <x:v>0</x:v>
      </x:c>
      <x:c r="K152" s="40" t="n">
        <x:f>0</x:f>
        <x:v>0</x:v>
      </x:c>
      <x:c r="L152" s="40" t="n">
        <x:f>0</x:f>
        <x:v>0</x:v>
      </x:c>
      <x:c r="M152" s="40" t="n">
        <x:f>0</x:f>
        <x:v>0</x:v>
      </x:c>
      <x:c r="N152" s="40" t="n">
        <x:f>0</x:f>
        <x:v>0</x:v>
      </x:c>
      <x:c r="O152" s="40" t="n">
        <x:f>0</x:f>
        <x:v>0</x:v>
      </x:c>
      <x:c r="P152" s="40" t="n">
        <x:f>0</x:f>
        <x:v>0</x:v>
      </x:c>
      <x:c r="Q152" s="40" t="n">
        <x:f>0</x:f>
        <x:v>0</x:v>
      </x:c>
      <x:c r="R152" s="40" t="n">
        <x:f>R135/R136*MAX(0,MIN(R$6,(R$3+R$6)/2+R136)-MAX(R$3,(R$3+R$6)/2))</x:f>
        <x:v>0</x:v>
      </x:c>
      <x:c r="S152" s="40" t="n">
        <x:f>R135/R136*MAX(0,MIN(S$6,(R$3+R$6)/2+R136)-MAX(S$3,(R$3+R$6)/2))</x:f>
        <x:v>0</x:v>
      </x:c>
    </x:row>
    <x:row r="153" ht="20" customHeight="1">
      <x:c r="A153" s="3"/>
      <x:c r="B153" s="3"/>
      <x:c r="C153" s="3" t="str">
        <x:v>D&amp;A nakładów 2041E</x:v>
      </x:c>
      <x:c r="D153" s="40" t="n">
        <x:f>0</x:f>
        <x:v>0</x:v>
      </x:c>
      <x:c r="E153" s="40" t="n">
        <x:f>0</x:f>
        <x:v>0</x:v>
      </x:c>
      <x:c r="F153" s="40" t="n">
        <x:f>0</x:f>
        <x:v>0</x:v>
      </x:c>
      <x:c r="G153" s="40" t="n">
        <x:f>0</x:f>
        <x:v>0</x:v>
      </x:c>
      <x:c r="H153" s="40" t="n">
        <x:f>0</x:f>
        <x:v>0</x:v>
      </x:c>
      <x:c r="I153" s="40" t="n">
        <x:f>0</x:f>
        <x:v>0</x:v>
      </x:c>
      <x:c r="J153" s="40" t="n">
        <x:f>0</x:f>
        <x:v>0</x:v>
      </x:c>
      <x:c r="K153" s="40" t="n">
        <x:f>0</x:f>
        <x:v>0</x:v>
      </x:c>
      <x:c r="L153" s="40" t="n">
        <x:f>0</x:f>
        <x:v>0</x:v>
      </x:c>
      <x:c r="M153" s="40" t="n">
        <x:f>0</x:f>
        <x:v>0</x:v>
      </x:c>
      <x:c r="N153" s="40" t="n">
        <x:f>0</x:f>
        <x:v>0</x:v>
      </x:c>
      <x:c r="O153" s="40" t="n">
        <x:f>0</x:f>
        <x:v>0</x:v>
      </x:c>
      <x:c r="P153" s="40" t="n">
        <x:f>0</x:f>
        <x:v>0</x:v>
      </x:c>
      <x:c r="Q153" s="40" t="n">
        <x:f>0</x:f>
        <x:v>0</x:v>
      </x:c>
      <x:c r="R153" s="40" t="n">
        <x:f>0</x:f>
        <x:v>0</x:v>
      </x:c>
      <x:c r="S153" s="40" t="n">
        <x:f>S135/S136*MAX(0,MIN(S$6,(S$3+S$6)/2+S136)-MAX(S$3,(S$3+S$6)/2))</x:f>
        <x:v>0</x:v>
      </x:c>
    </x:row>
    <x:row r="154" ht="23" customHeight="1">
      <x:c r="A154" s="3"/>
      <x:c r="B154" s="3"/>
      <x:c r="C154" s="45" t="str">
        <x:v>D&amp;A razem</x:v>
      </x:c>
      <x:c r="D154" s="46" t="n">
        <x:f>SUM(D137:D153)</x:f>
        <x:v>317.7</x:v>
      </x:c>
      <x:c r="E154" s="46" t="n">
        <x:f>SUM(E137:E153)</x:f>
        <x:v>1437.4666666666667</x:v>
      </x:c>
      <x:c r="F154" s="46" t="n">
        <x:f>SUM(F137:F153)</x:f>
        <x:v>1604.1333333333332</x:v>
      </x:c>
      <x:c r="G154" s="46" t="n">
        <x:f>SUM(G137:G153)</x:f>
        <x:v>1604.1333333333332</x:v>
      </x:c>
      <x:c r="H154" s="46" t="n">
        <x:f>SUM(H137:H153)</x:f>
        <x:v>1604.1333333333332</x:v>
      </x:c>
      <x:c r="I154" s="46" t="n">
        <x:f>SUM(I137:I153)</x:f>
        <x:v>1286.4333333333332</x:v>
      </x:c>
      <x:c r="J154" s="46" t="n">
        <x:f>SUM(J137:J153)</x:f>
        <x:v>333.3333333333333</x:v>
      </x:c>
      <x:c r="K154" s="46" t="n">
        <x:f>SUM(K137:K153)</x:f>
        <x:v>333.3333333333333</x:v>
      </x:c>
      <x:c r="L154" s="46" t="n">
        <x:f>SUM(L137:L153)</x:f>
        <x:v>333.3333333333333</x:v>
      </x:c>
      <x:c r="M154" s="46" t="n">
        <x:f>SUM(M137:M153)</x:f>
        <x:v>333.3333333333333</x:v>
      </x:c>
      <x:c r="N154" s="46" t="n">
        <x:f>SUM(N137:N153)</x:f>
        <x:v>333.3333333333333</x:v>
      </x:c>
      <x:c r="O154" s="46" t="n">
        <x:f>SUM(O137:O153)</x:f>
        <x:v>333.3333333333333</x:v>
      </x:c>
      <x:c r="P154" s="46" t="n">
        <x:f>SUM(P137:P153)</x:f>
        <x:v>333.3333333333333</x:v>
      </x:c>
      <x:c r="Q154" s="46" t="n">
        <x:f>SUM(Q137:Q153)</x:f>
        <x:v>333.3333333333333</x:v>
      </x:c>
      <x:c r="R154" s="46" t="n">
        <x:f>SUM(R137:R153)</x:f>
        <x:v>333.3333333333333</x:v>
      </x:c>
      <x:c r="S154" s="46" t="n">
        <x:f>SUM(S137:S153)</x:f>
        <x:v>333.3333333333333</x:v>
      </x:c>
    </x:row>
    <x:row r="155" ht="23" customHeight="1">
      <x:c r="A155" s="3"/>
      <x:c r="B155" s="3"/>
      <x:c r="C155" s="45" t="str">
        <x:v>Wartość netto na koniec</x:v>
      </x:c>
      <x:c r="D155" s="46" t="n">
        <x:f>SUM(D134:D135)-D154</x:f>
        <x:v>6036.3</x:v>
      </x:c>
      <x:c r="E155" s="46" t="n">
        <x:f>SUM(E134:E135)-E154</x:f>
        <x:v>9598.833333333332</x:v>
      </x:c>
      <x:c r="F155" s="46" t="n">
        <x:f>SUM(F134:F135)-F154</x:f>
        <x:v>7994.699999999999</x:v>
      </x:c>
      <x:c r="G155" s="46" t="n">
        <x:f>SUM(G134:G135)-G154</x:f>
        <x:v>6390.566666666666</x:v>
      </x:c>
      <x:c r="H155" s="46" t="n">
        <x:f>SUM(H134:H135)-H154</x:f>
        <x:v>4786.4333333333325</x:v>
      </x:c>
      <x:c r="I155" s="46" t="n">
        <x:f>SUM(I134:I135)-I154</x:f>
        <x:v>3499.999999999999</x:v>
      </x:c>
      <x:c r="J155" s="46" t="n">
        <x:f>SUM(J134:J135)-J154</x:f>
        <x:v>3166.6666666666656</x:v>
      </x:c>
      <x:c r="K155" s="46" t="n">
        <x:f>SUM(K134:K135)-K154</x:f>
        <x:v>2833.333333333332</x:v>
      </x:c>
      <x:c r="L155" s="46" t="n">
        <x:f>SUM(L134:L135)-L154</x:f>
        <x:v>2499.9999999999986</x:v>
      </x:c>
      <x:c r="M155" s="46" t="n">
        <x:f>SUM(M134:M135)-M154</x:f>
        <x:v>2166.666666666665</x:v>
      </x:c>
      <x:c r="N155" s="46" t="n">
        <x:f>SUM(N134:N135)-N154</x:f>
        <x:v>1833.333333333332</x:v>
      </x:c>
      <x:c r="O155" s="46" t="n">
        <x:f>SUM(O134:O135)-O154</x:f>
        <x:v>1499.9999999999986</x:v>
      </x:c>
      <x:c r="P155" s="46" t="n">
        <x:f>SUM(P134:P135)-P154</x:f>
        <x:v>1166.6666666666654</x:v>
      </x:c>
      <x:c r="Q155" s="46" t="n">
        <x:f>SUM(Q134:Q135)-Q154</x:f>
        <x:v>833.3333333333321</x:v>
      </x:c>
      <x:c r="R155" s="46" t="n">
        <x:f>SUM(R134:R135)-R154</x:f>
        <x:v>499.9999999999988</x:v>
      </x:c>
      <x:c r="S155" s="46" t="n">
        <x:f>SUM(S134:S135)-S154</x:f>
        <x:v>166.6666666666655</x:v>
      </x:c>
    </x:row>
    <x:row r="156" ht="20" customHeight="1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  <x:c r="Q156" s="3"/>
      <x:c r="R156" s="3"/>
      <x:c r="S156" s="3"/>
    </x:row>
    <x:row r="157" ht="20" customHeight="1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  <x:c r="Q157" s="3"/>
      <x:c r="R157" s="3"/>
      <x:c r="S157" s="3"/>
    </x:row>
    <x:row r="158" ht="20" customHeight="1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  <x:c r="Q158" s="3"/>
      <x:c r="R158" s="3"/>
      <x:c r="S158" s="3"/>
    </x:row>
    <x:row r="159" ht="20" customHeight="1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  <x:c r="Q159" s="3"/>
      <x:c r="R159" s="3"/>
      <x:c r="S159" s="3"/>
    </x:row>
    <x:row r="160" ht="20" customHeight="1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  <x:c r="Q160" s="3"/>
      <x:c r="R160" s="3"/>
      <x:c r="S160" s="3"/>
    </x:row>
    <x:row r="161" ht="20" customHeight="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  <x:c r="Q161" s="3"/>
      <x:c r="R161" s="3"/>
      <x:c r="S161" s="3"/>
    </x:row>
    <x:row r="162" ht="20" customHeight="1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  <x:c r="Q162" s="3"/>
      <x:c r="R162" s="3"/>
      <x:c r="S162" s="3"/>
    </x:row>
    <x:row r="163" ht="20" customHeight="1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  <x:c r="Q163" s="3"/>
      <x:c r="R163" s="3"/>
      <x:c r="S163" s="3"/>
    </x:row>
    <x:row r="164" ht="20" customHeight="1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  <x:c r="Q164" s="3"/>
      <x:c r="R164" s="3"/>
      <x:c r="S164" s="3"/>
    </x:row>
    <x:row r="165" ht="20" customHeight="1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  <x:c r="Q165" s="3"/>
      <x:c r="R165" s="3"/>
      <x:c r="S165" s="3"/>
    </x:row>
    <x:row r="166" ht="20" customHeight="1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  <x:c r="Q166" s="3"/>
      <x:c r="R166" s="3"/>
      <x:c r="S166" s="3"/>
    </x:row>
    <x:row r="167" ht="20" customHeight="1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  <x:c r="Q167" s="3"/>
      <x:c r="R167" s="3"/>
      <x:c r="S167" s="3"/>
    </x:row>
    <x:row r="168" ht="20" customHeight="1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  <x:c r="Q168" s="3"/>
      <x:c r="R168" s="3"/>
      <x:c r="S168" s="3"/>
    </x:row>
    <x:row r="169" ht="20" customHeight="1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  <x:c r="Q169" s="3"/>
      <x:c r="R169" s="3"/>
      <x:c r="S169" s="3"/>
    </x:row>
    <x:row r="170" ht="20" customHeight="1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  <x:c r="Q170" s="3"/>
      <x:c r="R170" s="3"/>
      <x:c r="S170" s="3"/>
    </x:row>
    <x:row r="171" ht="20" customHeight="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  <x:c r="Q171" s="3"/>
      <x:c r="R171" s="3"/>
      <x:c r="S171" s="3"/>
    </x:row>
    <x:row r="172" ht="20" customHeight="1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  <x:c r="Q172" s="3"/>
      <x:c r="R172" s="3"/>
      <x:c r="S172" s="3"/>
    </x:row>
    <x:row r="173" ht="20" customHeight="1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  <x:c r="Q173" s="3"/>
      <x:c r="R173" s="3"/>
      <x:c r="S173" s="3"/>
    </x:row>
    <x:row r="174" ht="20" customHeight="1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  <x:c r="Q174" s="3"/>
      <x:c r="R174" s="3"/>
      <x:c r="S174" s="3"/>
    </x:row>
    <x:row r="175" ht="20" customHeight="1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  <x:c r="Q175" s="3"/>
      <x:c r="R175" s="3"/>
      <x:c r="S175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przepływy i dyskontowanie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18" customHeight="1">
      <x:c r="A3" s="3"/>
      <x:c r="B3" s="3"/>
      <x:c r="C3" s="20" t="str">
        <x:v>Początek okresu (lata od 30.09.26)</x:v>
      </x:c>
      <x:c r="D3" s="20" t="n">
        <x:v>0</x:v>
      </x:c>
      <x:c r="E3" s="20" t="n">
        <x:v>0.25</x:v>
      </x:c>
      <x:c r="F3" s="20" t="n">
        <x:v>1.25</x:v>
      </x:c>
      <x:c r="G3" s="20" t="n">
        <x:v>2.25</x:v>
      </x:c>
      <x:c r="H3" s="20" t="n">
        <x:v>3.25</x:v>
      </x:c>
      <x:c r="I3" s="20" t="n">
        <x:v>4.25</x:v>
      </x:c>
      <x:c r="J3" s="20" t="n">
        <x:v>5.25</x:v>
      </x:c>
      <x:c r="K3" s="20" t="n">
        <x:v>6.25</x:v>
      </x:c>
      <x:c r="L3" s="20" t="n">
        <x:v>7.25</x:v>
      </x:c>
      <x:c r="M3" s="20" t="n">
        <x:v>8.25</x:v>
      </x:c>
      <x:c r="N3" s="20" t="n">
        <x:v>9.25</x:v>
      </x:c>
      <x:c r="O3" s="20" t="n">
        <x:v>10.25</x:v>
      </x:c>
      <x:c r="P3" s="20" t="n">
        <x:v>11.25</x:v>
      </x:c>
      <x:c r="Q3" s="20" t="n">
        <x:v>12.25</x:v>
      </x:c>
      <x:c r="R3" s="20" t="n">
        <x:v>13.25</x:v>
      </x:c>
      <x:c r="S3" s="20" t="n">
        <x:v>14.25</x:v>
      </x:c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18" customHeight="1">
      <x:c r="A5" s="3"/>
      <x:c r="B5" s="3"/>
      <x:c r="C5" s="20" t="str">
        <x:v>Długość okresu (lata)</x:v>
      </x:c>
      <x:c r="D5" s="20" t="n">
        <x:v>0.25</x:v>
      </x:c>
      <x:c r="E5" s="20" t="n">
        <x:v>1</x:v>
      </x:c>
      <x:c r="F5" s="20" t="n">
        <x:v>1</x:v>
      </x:c>
      <x:c r="G5" s="20" t="n">
        <x:v>1</x:v>
      </x:c>
      <x:c r="H5" s="20" t="n">
        <x:v>1</x:v>
      </x:c>
      <x:c r="I5" s="20" t="n">
        <x:v>1</x:v>
      </x:c>
      <x:c r="J5" s="20" t="n">
        <x:v>1</x:v>
      </x:c>
      <x:c r="K5" s="20" t="n">
        <x:v>1</x:v>
      </x:c>
      <x:c r="L5" s="20" t="n">
        <x:v>1</x:v>
      </x:c>
      <x:c r="M5" s="20" t="n">
        <x:v>1</x:v>
      </x:c>
      <x:c r="N5" s="20" t="n">
        <x:v>1</x:v>
      </x:c>
      <x:c r="O5" s="20" t="n">
        <x:v>1</x:v>
      </x:c>
      <x:c r="P5" s="20" t="n">
        <x:v>1</x:v>
      </x:c>
      <x:c r="Q5" s="20" t="n">
        <x:v>1</x:v>
      </x:c>
      <x:c r="R5" s="20" t="n">
        <x:v>1</x:v>
      </x:c>
      <x:c r="S5" s="20" t="n">
        <x:v>1</x:v>
      </x:c>
    </x:row>
    <x:row r="6" ht="18" customHeight="1">
      <x:c r="A6" s="3"/>
      <x:c r="B6" s="3"/>
      <x:c r="C6" s="20" t="str">
        <x:v>Koniec okresu (lata od 30.09.26)</x:v>
      </x:c>
      <x:c r="D6" s="20" t="n">
        <x:v>0.25</x:v>
      </x:c>
      <x:c r="E6" s="20" t="n">
        <x:v>1.25</x:v>
      </x:c>
      <x:c r="F6" s="20" t="n">
        <x:v>2.25</x:v>
      </x:c>
      <x:c r="G6" s="20" t="n">
        <x:v>3.25</x:v>
      </x:c>
      <x:c r="H6" s="20" t="n">
        <x:v>4.25</x:v>
      </x:c>
      <x:c r="I6" s="20" t="n">
        <x:v>5.25</x:v>
      </x:c>
      <x:c r="J6" s="20" t="n">
        <x:v>6.25</x:v>
      </x:c>
      <x:c r="K6" s="20" t="n">
        <x:v>7.25</x:v>
      </x:c>
      <x:c r="L6" s="20" t="n">
        <x:v>8.25</x:v>
      </x:c>
      <x:c r="M6" s="20" t="n">
        <x:v>9.25</x:v>
      </x:c>
      <x:c r="N6" s="20" t="n">
        <x:v>10.25</x:v>
      </x:c>
      <x:c r="O6" s="20" t="n">
        <x:v>11.25</x:v>
      </x:c>
      <x:c r="P6" s="20" t="n">
        <x:v>12.25</x:v>
      </x:c>
      <x:c r="Q6" s="20" t="n">
        <x:v>13.25</x:v>
      </x:c>
      <x:c r="R6" s="20" t="n">
        <x:v>14.25</x:v>
      </x:c>
      <x:c r="S6" s="20" t="n">
        <x:v>15.25</x:v>
      </x:c>
    </x:row>
    <x:row r="7" ht="24" customHeight="1">
      <x:c r="A7" s="3"/>
      <x:c r="B7" s="3"/>
      <x:c r="C7" s="13" t="str">
        <x:v>USD mln, chyba że wskazano inaczej</x:v>
      </x:c>
      <x:c r="D7" s="13" t="str">
        <x:v>Q4:26E</x:v>
      </x:c>
      <x:c r="E7" s="13" t="str">
        <x:v>2027E</x:v>
      </x:c>
      <x:c r="F7" s="13" t="str">
        <x:v>2028E</x:v>
      </x:c>
      <x:c r="G7" s="13" t="str">
        <x:v>2029E</x:v>
      </x:c>
      <x:c r="H7" s="13" t="str">
        <x:v>2030E</x:v>
      </x:c>
      <x:c r="I7" s="13" t="str">
        <x:v>2031E</x:v>
      </x:c>
      <x:c r="J7" s="13" t="str">
        <x:v>2032E</x:v>
      </x:c>
      <x:c r="K7" s="13" t="str">
        <x:v>2033E</x:v>
      </x:c>
      <x:c r="L7" s="13" t="str">
        <x:v>2034E</x:v>
      </x:c>
      <x:c r="M7" s="13" t="str">
        <x:v>2035E</x:v>
      </x:c>
      <x:c r="N7" s="13" t="str">
        <x:v>2036E</x:v>
      </x:c>
      <x:c r="O7" s="13" t="str">
        <x:v>2037E</x:v>
      </x:c>
      <x:c r="P7" s="13" t="str">
        <x:v>2038E</x:v>
      </x:c>
      <x:c r="Q7" s="13" t="str">
        <x:v>2039E</x:v>
      </x:c>
      <x:c r="R7" s="13" t="str">
        <x:v>2040E</x:v>
      </x:c>
      <x:c r="S7" s="13" t="str">
        <x:v>2041E</x:v>
      </x:c>
    </x:row>
    <x:row r="8" ht="23" customHeight="1">
      <x:c r="A8" s="3"/>
      <x:c r="B8" s="3"/>
      <x:c r="C8" s="17" t="str">
        <x:v>Wynik operacyjny</x:v>
      </x:c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</x:row>
    <x:row r="9" ht="20" customHeight="1">
      <x:c r="A9" s="3"/>
      <x:c r="B9" s="3"/>
      <x:c r="C9" s="3" t="str">
        <x:v>EBITDA po ekonomicznym koszcie SBC</x:v>
      </x:c>
      <x:c r="D9" s="38" t="n">
        <x:f>'Operacje'!D71</x:f>
        <x:v>8739.664</x:v>
      </x:c>
      <x:c r="E9" s="38" t="n">
        <x:f>'Operacje'!E71</x:f>
        <x:v>46538.93342103454</x:v>
      </x:c>
      <x:c r="F9" s="38" t="n">
        <x:f>'Operacje'!F71</x:f>
        <x:v>64802.090257201475</x:v>
      </x:c>
      <x:c r="G9" s="38" t="n">
        <x:f>'Operacje'!G71</x:f>
        <x:v>91065.23934122529</x:v>
      </x:c>
      <x:c r="H9" s="38" t="n">
        <x:f>'Operacje'!H71</x:f>
        <x:v>129048.54212001685</x:v>
      </x:c>
      <x:c r="I9" s="38" t="n">
        <x:f>'Operacje'!I71</x:f>
        <x:v>158738.38124888964</x:v>
      </x:c>
      <x:c r="J9" s="38" t="n">
        <x:f>'Operacje'!J71</x:f>
        <x:v>178103.54792332853</x:v>
      </x:c>
      <x:c r="K9" s="38" t="n">
        <x:f>'Operacje'!K71</x:f>
        <x:v>199743.57238241137</x:v>
      </x:c>
      <x:c r="L9" s="38" t="n">
        <x:f>'Operacje'!L71</x:f>
        <x:v>223926.74494419526</x:v>
      </x:c>
      <x:c r="M9" s="38" t="n">
        <x:f>'Operacje'!M71</x:f>
        <x:v>250954.78324513635</x:v>
      </x:c>
      <x:c r="N9" s="38" t="n">
        <x:f>'Operacje'!N71</x:f>
        <x:v>266162.2959564327</x:v>
      </x:c>
      <x:c r="O9" s="38" t="n">
        <x:f>'Operacje'!O71</x:f>
        <x:v>275379.11705027247</x:v>
      </x:c>
      <x:c r="P9" s="38" t="n">
        <x:f>'Operacje'!P71</x:f>
        <x:v>284929.556539018</x:v>
      </x:c>
      <x:c r="Q9" s="38" t="n">
        <x:f>'Operacje'!Q71</x:f>
        <x:v>294829.0741514389</x:v>
      </x:c>
      <x:c r="R9" s="38" t="n">
        <x:f>'Operacje'!R71</x:f>
        <x:v>305093.95812796976</x:v>
      </x:c>
      <x:c r="S9" s="38" t="n">
        <x:f>'Operacje'!S71</x:f>
        <x:v>315741.37591915845</x:v>
      </x:c>
    </x:row>
    <x:row r="10" ht="20" customHeight="1">
      <x:c r="A10" s="3"/>
      <x:c r="B10" s="3"/>
      <x:c r="C10" s="3" t="str">
        <x:v>Amortyzacja (D&amp;A)</x:v>
      </x:c>
      <x:c r="D10" s="38" t="n">
        <x:f>SUM('Nakłady i D&amp;A'!D29,'Nakłady i D&amp;A'!D54,'Nakłady i D&amp;A'!D79,'Nakłady i D&amp;A'!D104,'Nakłady i D&amp;A'!D129,'Nakłady i D&amp;A'!D154)</x:f>
        <x:v>6320.08831454365</x:v>
      </x:c>
      <x:c r="E10" s="38" t="n">
        <x:f>SUM('Nakłady i D&amp;A'!E29,'Nakłady i D&amp;A'!E54,'Nakłady i D&amp;A'!E79,'Nakłady i D&amp;A'!E104,'Nakłady i D&amp;A'!E129,'Nakłady i D&amp;A'!E154)</x:f>
        <x:v>33542.35978214691</x:v>
      </x:c>
      <x:c r="F10" s="38" t="n">
        <x:f>SUM('Nakłady i D&amp;A'!F29,'Nakłady i D&amp;A'!F54,'Nakłady i D&amp;A'!F79,'Nakłady i D&amp;A'!F104,'Nakłady i D&amp;A'!F129,'Nakłady i D&amp;A'!F154)</x:f>
        <x:v>47254.87962752037</x:v>
      </x:c>
      <x:c r="G10" s="38" t="n">
        <x:f>SUM('Nakłady i D&amp;A'!G29,'Nakłady i D&amp;A'!G54,'Nakłady i D&amp;A'!G79,'Nakłady i D&amp;A'!G104,'Nakłady i D&amp;A'!G129,'Nakłady i D&amp;A'!G154)</x:f>
        <x:v>59456.975954236834</x:v>
      </x:c>
      <x:c r="H10" s="38" t="n">
        <x:f>SUM('Nakłady i D&amp;A'!H29,'Nakłady i D&amp;A'!H54,'Nakłady i D&amp;A'!H79,'Nakłady i D&amp;A'!H104,'Nakłady i D&amp;A'!H129,'Nakłady i D&amp;A'!H154)</x:f>
        <x:v>75475.72234413402</x:v>
      </x:c>
      <x:c r="I10" s="38" t="n">
        <x:f>SUM('Nakłady i D&amp;A'!I29,'Nakłady i D&amp;A'!I54,'Nakłady i D&amp;A'!I79,'Nakłady i D&amp;A'!I104,'Nakłady i D&amp;A'!I129,'Nakłady i D&amp;A'!I154)</x:f>
        <x:v>101412.87108273494</x:v>
      </x:c>
      <x:c r="J10" s="38" t="n">
        <x:f>SUM('Nakłady i D&amp;A'!J29,'Nakłady i D&amp;A'!J54,'Nakłady i D&amp;A'!J79,'Nakłady i D&amp;A'!J104,'Nakłady i D&amp;A'!J129,'Nakłady i D&amp;A'!J154)</x:f>
        <x:v>114576.44955189453</x:v>
      </x:c>
      <x:c r="K10" s="38" t="n">
        <x:f>SUM('Nakłady i D&amp;A'!K29,'Nakłady i D&amp;A'!K54,'Nakłady i D&amp;A'!K79,'Nakłady i D&amp;A'!K104,'Nakłady i D&amp;A'!K129,'Nakłady i D&amp;A'!K154)</x:f>
        <x:v>127607.46568175696</x:v>
      </x:c>
      <x:c r="L10" s="38" t="n">
        <x:f>SUM('Nakłady i D&amp;A'!L29,'Nakłady i D&amp;A'!L54,'Nakłady i D&amp;A'!L79,'Nakłady i D&amp;A'!L104,'Nakłady i D&amp;A'!L129,'Nakłady i D&amp;A'!L154)</x:f>
        <x:v>136657.6603327816</x:v>
      </x:c>
      <x:c r="M10" s="38" t="n">
        <x:f>SUM('Nakłady i D&amp;A'!M29,'Nakłady i D&amp;A'!M54,'Nakłady i D&amp;A'!M79,'Nakłady i D&amp;A'!M104,'Nakłady i D&amp;A'!M129,'Nakłady i D&amp;A'!M154)</x:f>
        <x:v>141586.80209274206</x:v>
      </x:c>
      <x:c r="N10" s="38" t="n">
        <x:f>SUM('Nakłady i D&amp;A'!N29,'Nakłady i D&amp;A'!N54,'Nakłady i D&amp;A'!N79,'Nakłady i D&amp;A'!N104,'Nakłady i D&amp;A'!N129,'Nakłady i D&amp;A'!N154)</x:f>
        <x:v>145537.46666122926</x:v>
      </x:c>
      <x:c r="O10" s="38" t="n">
        <x:f>SUM('Nakłady i D&amp;A'!O29,'Nakłady i D&amp;A'!O54,'Nakłady i D&amp;A'!O79,'Nakłady i D&amp;A'!O104,'Nakłady i D&amp;A'!O129,'Nakłady i D&amp;A'!O154)</x:f>
        <x:v>150783.71963321796</x:v>
      </x:c>
      <x:c r="P10" s="38" t="n">
        <x:f>SUM('Nakłady i D&amp;A'!P29,'Nakłady i D&amp;A'!P54,'Nakłady i D&amp;A'!P79,'Nakłady i D&amp;A'!P104,'Nakłady i D&amp;A'!P129,'Nakłady i D&amp;A'!P154)</x:f>
        <x:v>154419.60868822207</x:v>
      </x:c>
      <x:c r="Q10" s="38" t="n">
        <x:f>SUM('Nakłady i D&amp;A'!Q29,'Nakłady i D&amp;A'!Q54,'Nakłady i D&amp;A'!Q79,'Nakłady i D&amp;A'!Q104,'Nakłady i D&amp;A'!Q129,'Nakłady i D&amp;A'!Q154)</x:f>
        <x:v>156428.2592983447</x:v>
      </x:c>
      <x:c r="R10" s="38" t="n">
        <x:f>SUM('Nakłady i D&amp;A'!R29,'Nakłady i D&amp;A'!R54,'Nakłady i D&amp;A'!R79,'Nakłady i D&amp;A'!R104,'Nakłady i D&amp;A'!R129,'Nakłady i D&amp;A'!R154)</x:f>
        <x:v>156756.43718092528</x:v>
      </x:c>
      <x:c r="S10" s="38" t="n">
        <x:f>SUM('Nakłady i D&amp;A'!S29,'Nakłady i D&amp;A'!S54,'Nakłady i D&amp;A'!S79,'Nakłady i D&amp;A'!S104,'Nakłady i D&amp;A'!S129,'Nakłady i D&amp;A'!S154)</x:f>
        <x:v>159031.17970382824</x:v>
      </x:c>
    </x:row>
    <x:row r="11" ht="23" customHeight="1">
      <x:c r="A11" s="3"/>
      <x:c r="B11" s="3"/>
      <x:c r="C11" s="45" t="str">
        <x:v>Zysk operacyjny EBIT</x:v>
      </x:c>
      <x:c r="D11" s="46" t="n">
        <x:f>D9-D10</x:f>
        <x:v>2419.5756854563506</x:v>
      </x:c>
      <x:c r="E11" s="46" t="n">
        <x:f>E9-E10</x:f>
        <x:v>12996.573638887632</x:v>
      </x:c>
      <x:c r="F11" s="46" t="n">
        <x:f>F9-F10</x:f>
        <x:v>17547.210629681103</x:v>
      </x:c>
      <x:c r="G11" s="46" t="n">
        <x:f>G9-G10</x:f>
        <x:v>31608.263386988452</x:v>
      </x:c>
      <x:c r="H11" s="46" t="n">
        <x:f>H9-H10</x:f>
        <x:v>53572.81977588283</x:v>
      </x:c>
      <x:c r="I11" s="46" t="n">
        <x:f>I9-I10</x:f>
        <x:v>57325.510166154694</x:v>
      </x:c>
      <x:c r="J11" s="46" t="n">
        <x:f>J9-J10</x:f>
        <x:v>63527.098371434</x:v>
      </x:c>
      <x:c r="K11" s="46" t="n">
        <x:f>K9-K10</x:f>
        <x:v>72136.1067006544</x:v>
      </x:c>
      <x:c r="L11" s="46" t="n">
        <x:f>L9-L10</x:f>
        <x:v>87269.08461141365</x:v>
      </x:c>
      <x:c r="M11" s="46" t="n">
        <x:f>M9-M10</x:f>
        <x:v>109367.98115239429</x:v>
      </x:c>
      <x:c r="N11" s="46" t="n">
        <x:f>N9-N10</x:f>
        <x:v>120624.82929520344</x:v>
      </x:c>
      <x:c r="O11" s="46" t="n">
        <x:f>O9-O10</x:f>
        <x:v>124595.39741705451</x:v>
      </x:c>
      <x:c r="P11" s="46" t="n">
        <x:f>P9-P10</x:f>
        <x:v>130509.94785079593</x:v>
      </x:c>
      <x:c r="Q11" s="46" t="n">
        <x:f>Q9-Q10</x:f>
        <x:v>138400.8148530942</x:v>
      </x:c>
      <x:c r="R11" s="46" t="n">
        <x:f>R9-R10</x:f>
        <x:v>148337.52094704448</x:v>
      </x:c>
      <x:c r="S11" s="46" t="n">
        <x:f>S9-S10</x:f>
        <x:v>156710.19621533022</x:v>
      </x:c>
    </x:row>
    <x:row r="12" ht="20" customHeight="1">
      <x:c r="A12" s="3"/>
      <x:c r="B12" s="3"/>
      <x:c r="C12" s="3" t="str">
        <x:v>Marża EBIT</x:v>
      </x:c>
      <x:c r="D12" s="41" t="n">
        <x:f>D11/'Operacje'!D69</x:f>
        <x:v>0.1354832861833965</x:v>
      </x:c>
      <x:c r="E12" s="41" t="n">
        <x:f>E11/'Operacje'!E69</x:f>
        <x:v>0.14009205641868047</x:v>
      </x:c>
      <x:c r="F12" s="41" t="n">
        <x:f>F11/'Operacje'!F69</x:f>
        <x:v>0.13943133078681058</x:v>
      </x:c>
      <x:c r="G12" s="41" t="n">
        <x:f>G11/'Operacje'!G69</x:f>
        <x:v>0.18252499983926668</x:v>
      </x:c>
      <x:c r="H12" s="41" t="n">
        <x:f>H11/'Operacje'!H69</x:f>
        <x:v>0.22197848330521755</x:v>
      </x:c>
      <x:c r="I12" s="41" t="n">
        <x:f>I11/'Operacje'!I69</x:f>
        <x:v>0.19522935919863343</x:v>
      </x:c>
      <x:c r="J12" s="41" t="n">
        <x:f>J11/'Operacje'!J69</x:f>
        <x:v>0.19431008988194615</x:v>
      </x:c>
      <x:c r="K12" s="41" t="n">
        <x:f>K11/'Operacje'!K69</x:f>
        <x:v>0.1981306356748534</x:v>
      </x:c>
      <x:c r="L12" s="41" t="n">
        <x:f>L11/'Operacje'!L69</x:f>
        <x:v>0.21520429009247882</x:v>
      </x:c>
      <x:c r="M12" s="41" t="n">
        <x:f>M11/'Operacje'!M69</x:f>
        <x:v>0.2421053669225585</x:v>
      </x:c>
      <x:c r="N12" s="41" t="n">
        <x:f>N11/'Operacje'!N69</x:f>
        <x:v>0.2515191532685133</x:v>
      </x:c>
      <x:c r="O12" s="41" t="n">
        <x:f>O11/'Operacje'!O69</x:f>
        <x:v>0.2507857578254089</x:v>
      </x:c>
      <x:c r="P12" s="41" t="n">
        <x:f>P11/'Operacje'!P69</x:f>
        <x:v>0.2535614427433015</x:v>
      </x:c>
      <x:c r="Q12" s="41" t="n">
        <x:f>Q11/'Operacje'!Q69</x:f>
        <x:v>0.25952977280159306</x:v>
      </x:c>
      <x:c r="R12" s="41" t="n">
        <x:f>R11/'Operacje'!R69</x:f>
        <x:v>0.2684582735062168</x:v>
      </x:c>
      <x:c r="S12" s="41" t="n">
        <x:f>S11/'Operacje'!S69</x:f>
        <x:v>0.27369490890482345</x:v>
      </x:c>
    </x:row>
    <x:row r="13" ht="20" customHeight="1">
      <x:c r="A13" s="3"/>
      <x:c r="B13" s="3"/>
      <x:c r="C13" s="3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  <x:c r="P13" s="14"/>
      <x:c r="Q13" s="14"/>
      <x:c r="R13" s="14"/>
      <x:c r="S13" s="14"/>
    </x:row>
    <x:row r="14" ht="23" customHeight="1">
      <x:c r="A14" s="3"/>
      <x:c r="B14" s="3"/>
      <x:c r="C14" s="17" t="str">
        <x:v>Podatki i straty podatkowe</x:v>
      </x:c>
      <x:c r="D14" s="32"/>
      <x:c r="E14" s="32"/>
      <x:c r="F14" s="32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</x:row>
    <x:row r="15" ht="20" customHeight="1">
      <x:c r="A15" s="3"/>
      <x:c r="B15" s="3"/>
      <x:c r="C15" s="3" t="str">
        <x:v>NOL na początek</x:v>
      </x:c>
      <x:c r="D15" s="38" t="n">
        <x:f>'Założenia'!$D$176</x:f>
        <x:v>0</x:v>
      </x:c>
      <x:c r="E15" s="40" t="n">
        <x:f>D17</x:f>
        <x:v>0</x:v>
      </x:c>
      <x:c r="F15" s="40" t="n">
        <x:f>E17</x:f>
        <x:v>0</x:v>
      </x:c>
      <x:c r="G15" s="40" t="n">
        <x:f>F17</x:f>
        <x:v>0</x:v>
      </x:c>
      <x:c r="H15" s="40" t="n">
        <x:f>G17</x:f>
        <x:v>0</x:v>
      </x:c>
      <x:c r="I15" s="40" t="n">
        <x:f>H17</x:f>
        <x:v>0</x:v>
      </x:c>
      <x:c r="J15" s="40" t="n">
        <x:f>I17</x:f>
        <x:v>0</x:v>
      </x:c>
      <x:c r="K15" s="40" t="n">
        <x:f>J17</x:f>
        <x:v>0</x:v>
      </x:c>
      <x:c r="L15" s="40" t="n">
        <x:f>K17</x:f>
        <x:v>0</x:v>
      </x:c>
      <x:c r="M15" s="40" t="n">
        <x:f>L17</x:f>
        <x:v>0</x:v>
      </x:c>
      <x:c r="N15" s="40" t="n">
        <x:f>M17</x:f>
        <x:v>0</x:v>
      </x:c>
      <x:c r="O15" s="40" t="n">
        <x:f>N17</x:f>
        <x:v>0</x:v>
      </x:c>
      <x:c r="P15" s="40" t="n">
        <x:f>O17</x:f>
        <x:v>0</x:v>
      </x:c>
      <x:c r="Q15" s="40" t="n">
        <x:f>P17</x:f>
        <x:v>0</x:v>
      </x:c>
      <x:c r="R15" s="40" t="n">
        <x:f>Q17</x:f>
        <x:v>0</x:v>
      </x:c>
      <x:c r="S15" s="40" t="n">
        <x:f>R17</x:f>
        <x:v>0</x:v>
      </x:c>
    </x:row>
    <x:row r="16" ht="20" customHeight="1">
      <x:c r="A16" s="3"/>
      <x:c r="B16" s="3"/>
      <x:c r="C16" s="3" t="str">
        <x:v>Wykorzystane NOL</x:v>
      </x:c>
      <x:c r="D16" s="38" t="n">
        <x:f>MIN(D15,MAX(0,D11)*'Założenia'!$D$177)</x:f>
        <x:v>0</x:v>
      </x:c>
      <x:c r="E16" s="38" t="n">
        <x:f>MIN(E15,MAX(0,E11)*'Założenia'!$D$177)</x:f>
        <x:v>0</x:v>
      </x:c>
      <x:c r="F16" s="38" t="n">
        <x:f>MIN(F15,MAX(0,F11)*'Założenia'!$D$177)</x:f>
        <x:v>0</x:v>
      </x:c>
      <x:c r="G16" s="38" t="n">
        <x:f>MIN(G15,MAX(0,G11)*'Założenia'!$D$177)</x:f>
        <x:v>0</x:v>
      </x:c>
      <x:c r="H16" s="38" t="n">
        <x:f>MIN(H15,MAX(0,H11)*'Założenia'!$D$177)</x:f>
        <x:v>0</x:v>
      </x:c>
      <x:c r="I16" s="38" t="n">
        <x:f>MIN(I15,MAX(0,I11)*'Założenia'!$D$177)</x:f>
        <x:v>0</x:v>
      </x:c>
      <x:c r="J16" s="38" t="n">
        <x:f>MIN(J15,MAX(0,J11)*'Założenia'!$D$177)</x:f>
        <x:v>0</x:v>
      </x:c>
      <x:c r="K16" s="38" t="n">
        <x:f>MIN(K15,MAX(0,K11)*'Założenia'!$D$177)</x:f>
        <x:v>0</x:v>
      </x:c>
      <x:c r="L16" s="38" t="n">
        <x:f>MIN(L15,MAX(0,L11)*'Założenia'!$D$177)</x:f>
        <x:v>0</x:v>
      </x:c>
      <x:c r="M16" s="38" t="n">
        <x:f>MIN(M15,MAX(0,M11)*'Założenia'!$D$177)</x:f>
        <x:v>0</x:v>
      </x:c>
      <x:c r="N16" s="38" t="n">
        <x:f>MIN(N15,MAX(0,N11)*'Założenia'!$D$177)</x:f>
        <x:v>0</x:v>
      </x:c>
      <x:c r="O16" s="38" t="n">
        <x:f>MIN(O15,MAX(0,O11)*'Założenia'!$D$177)</x:f>
        <x:v>0</x:v>
      </x:c>
      <x:c r="P16" s="38" t="n">
        <x:f>MIN(P15,MAX(0,P11)*'Założenia'!$D$177)</x:f>
        <x:v>0</x:v>
      </x:c>
      <x:c r="Q16" s="38" t="n">
        <x:f>MIN(Q15,MAX(0,Q11)*'Założenia'!$D$177)</x:f>
        <x:v>0</x:v>
      </x:c>
      <x:c r="R16" s="38" t="n">
        <x:f>MIN(R15,MAX(0,R11)*'Założenia'!$D$177)</x:f>
        <x:v>0</x:v>
      </x:c>
      <x:c r="S16" s="38" t="n">
        <x:f>MIN(S15,MAX(0,S11)*'Założenia'!$D$177)</x:f>
        <x:v>0</x:v>
      </x:c>
    </x:row>
    <x:row r="17" ht="20" customHeight="1">
      <x:c r="A17" s="3"/>
      <x:c r="B17" s="3"/>
      <x:c r="C17" s="3" t="str">
        <x:v>NOL na koniec</x:v>
      </x:c>
      <x:c r="D17" s="40" t="n">
        <x:f>D15+MAX(0,-D11)-D16</x:f>
        <x:v>0</x:v>
      </x:c>
      <x:c r="E17" s="40" t="n">
        <x:f>E15+MAX(0,-E11)-E16</x:f>
        <x:v>0</x:v>
      </x:c>
      <x:c r="F17" s="40" t="n">
        <x:f>F15+MAX(0,-F11)-F16</x:f>
        <x:v>0</x:v>
      </x:c>
      <x:c r="G17" s="40" t="n">
        <x:f>G15+MAX(0,-G11)-G16</x:f>
        <x:v>0</x:v>
      </x:c>
      <x:c r="H17" s="40" t="n">
        <x:f>H15+MAX(0,-H11)-H16</x:f>
        <x:v>0</x:v>
      </x:c>
      <x:c r="I17" s="40" t="n">
        <x:f>I15+MAX(0,-I11)-I16</x:f>
        <x:v>0</x:v>
      </x:c>
      <x:c r="J17" s="40" t="n">
        <x:f>J15+MAX(0,-J11)-J16</x:f>
        <x:v>0</x:v>
      </x:c>
      <x:c r="K17" s="40" t="n">
        <x:f>K15+MAX(0,-K11)-K16</x:f>
        <x:v>0</x:v>
      </x:c>
      <x:c r="L17" s="40" t="n">
        <x:f>L15+MAX(0,-L11)-L16</x:f>
        <x:v>0</x:v>
      </x:c>
      <x:c r="M17" s="40" t="n">
        <x:f>M15+MAX(0,-M11)-M16</x:f>
        <x:v>0</x:v>
      </x:c>
      <x:c r="N17" s="40" t="n">
        <x:f>N15+MAX(0,-N11)-N16</x:f>
        <x:v>0</x:v>
      </x:c>
      <x:c r="O17" s="40" t="n">
        <x:f>O15+MAX(0,-O11)-O16</x:f>
        <x:v>0</x:v>
      </x:c>
      <x:c r="P17" s="40" t="n">
        <x:f>P15+MAX(0,-P11)-P16</x:f>
        <x:v>0</x:v>
      </x:c>
      <x:c r="Q17" s="40" t="n">
        <x:f>Q15+MAX(0,-Q11)-Q16</x:f>
        <x:v>0</x:v>
      </x:c>
      <x:c r="R17" s="40" t="n">
        <x:f>R15+MAX(0,-R11)-R16</x:f>
        <x:v>0</x:v>
      </x:c>
      <x:c r="S17" s="40" t="n">
        <x:f>S15+MAX(0,-S11)-S16</x:f>
        <x:v>0</x:v>
      </x:c>
    </x:row>
    <x:row r="18" ht="20" customHeight="1">
      <x:c r="A18" s="3"/>
      <x:c r="B18" s="3"/>
      <x:c r="C18" s="3" t="str">
        <x:v>Podatek gotówkowy</x:v>
      </x:c>
      <x:c r="D18" s="38" t="n">
        <x:f>MAX(0,D11-D16)*'Założenia'!D10</x:f>
        <x:v>604.8939213640876</x:v>
      </x:c>
      <x:c r="E18" s="38" t="n">
        <x:f>MAX(0,E11-E16)*'Założenia'!D10</x:f>
        <x:v>3249.143409721908</x:v>
      </x:c>
      <x:c r="F18" s="38" t="n">
        <x:f>MAX(0,F11-F16)*'Założenia'!D10</x:f>
        <x:v>4386.802657420276</x:v>
      </x:c>
      <x:c r="G18" s="38" t="n">
        <x:f>MAX(0,G11-G16)*'Założenia'!D10</x:f>
        <x:v>7902.065846747113</x:v>
      </x:c>
      <x:c r="H18" s="38" t="n">
        <x:f>MAX(0,H11-H16)*'Założenia'!D10</x:f>
        <x:v>13393.204943970708</x:v>
      </x:c>
      <x:c r="I18" s="38" t="n">
        <x:f>MAX(0,I11-I16)*'Założenia'!D10</x:f>
        <x:v>14331.377541538674</x:v>
      </x:c>
      <x:c r="J18" s="38" t="n">
        <x:f>MAX(0,J11-J16)*'Założenia'!D10</x:f>
        <x:v>15881.7745928585</x:v>
      </x:c>
      <x:c r="K18" s="38" t="n">
        <x:f>MAX(0,K11-K16)*'Założenia'!D10</x:f>
        <x:v>18034.0266751636</x:v>
      </x:c>
      <x:c r="L18" s="38" t="n">
        <x:f>MAX(0,L11-L16)*'Założenia'!D10</x:f>
        <x:v>21817.271152853413</x:v>
      </x:c>
      <x:c r="M18" s="38" t="n">
        <x:f>MAX(0,M11-M16)*'Założenia'!D10</x:f>
        <x:v>27341.995288098573</x:v>
      </x:c>
      <x:c r="N18" s="38" t="n">
        <x:f>MAX(0,N11-N16)*'Założenia'!D10</x:f>
        <x:v>30156.20732380086</x:v>
      </x:c>
      <x:c r="O18" s="38" t="n">
        <x:f>MAX(0,O11-O16)*'Założenia'!D10</x:f>
        <x:v>31148.849354263628</x:v>
      </x:c>
      <x:c r="P18" s="38" t="n">
        <x:f>MAX(0,P11-P16)*'Założenia'!D10</x:f>
        <x:v>32627.486962698982</x:v>
      </x:c>
      <x:c r="Q18" s="38" t="n">
        <x:f>MAX(0,Q11-Q16)*'Założenia'!D10</x:f>
        <x:v>34600.20371327355</x:v>
      </x:c>
      <x:c r="R18" s="38" t="n">
        <x:f>MAX(0,R11-R16)*'Założenia'!D10</x:f>
        <x:v>37084.38023676112</x:v>
      </x:c>
      <x:c r="S18" s="38" t="n">
        <x:f>MAX(0,S11-S16)*'Założenia'!D10</x:f>
        <x:v>39177.549053832554</x:v>
      </x:c>
    </x:row>
    <x:row r="19" ht="23" customHeight="1">
      <x:c r="A19" s="3"/>
      <x:c r="B19" s="3"/>
      <x:c r="C19" s="45" t="str">
        <x:v>EBIT po podatku gotówkowym</x:v>
      </x:c>
      <x:c r="D19" s="46" t="n">
        <x:f>D11-D18</x:f>
        <x:v>1814.681764092263</x:v>
      </x:c>
      <x:c r="E19" s="46" t="n">
        <x:f>E11-E18</x:f>
        <x:v>9747.430229165724</x:v>
      </x:c>
      <x:c r="F19" s="46" t="n">
        <x:f>F11-F18</x:f>
        <x:v>13160.407972260828</x:v>
      </x:c>
      <x:c r="G19" s="46" t="n">
        <x:f>G11-G18</x:f>
        <x:v>23706.197540241337</x:v>
      </x:c>
      <x:c r="H19" s="46" t="n">
        <x:f>H11-H18</x:f>
        <x:v>40179.61483191213</x:v>
      </x:c>
      <x:c r="I19" s="46" t="n">
        <x:f>I11-I18</x:f>
        <x:v>42994.13262461602</x:v>
      </x:c>
      <x:c r="J19" s="46" t="n">
        <x:f>J11-J18</x:f>
        <x:v>47645.3237785755</x:v>
      </x:c>
      <x:c r="K19" s="46" t="n">
        <x:f>K11-K18</x:f>
        <x:v>54102.0800254908</x:v>
      </x:c>
      <x:c r="L19" s="46" t="n">
        <x:f>L11-L18</x:f>
        <x:v>65451.81345856024</x:v>
      </x:c>
      <x:c r="M19" s="46" t="n">
        <x:f>M11-M18</x:f>
        <x:v>82025.98586429571</x:v>
      </x:c>
      <x:c r="N19" s="46" t="n">
        <x:f>N11-N18</x:f>
        <x:v>90468.62197140258</x:v>
      </x:c>
      <x:c r="O19" s="46" t="n">
        <x:f>O11-O18</x:f>
        <x:v>93446.54806279088</x:v>
      </x:c>
      <x:c r="P19" s="46" t="n">
        <x:f>P11-P18</x:f>
        <x:v>97882.46088809695</x:v>
      </x:c>
      <x:c r="Q19" s="46" t="n">
        <x:f>Q11-Q18</x:f>
        <x:v>103800.61113982066</x:v>
      </x:c>
      <x:c r="R19" s="46" t="n">
        <x:f>R11-R18</x:f>
        <x:v>111253.14071028336</x:v>
      </x:c>
      <x:c r="S19" s="46" t="n">
        <x:f>S11-S18</x:f>
        <x:v>117532.64716149766</x:v>
      </x:c>
    </x:row>
    <x:row r="20" ht="20" customHeight="1">
      <x:c r="A20" s="3"/>
      <x:c r="B20" s="3"/>
      <x:c r="C20" s="3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  <x:c r="P20" s="14"/>
      <x:c r="Q20" s="14"/>
      <x:c r="R20" s="14"/>
      <x:c r="S20" s="14"/>
    </x:row>
    <x:row r="21" ht="20" customHeight="1">
      <x:c r="A21" s="3"/>
      <x:c r="B21" s="3"/>
      <x:c r="C21" s="3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</x:row>
    <x:row r="22" ht="23" customHeight="1">
      <x:c r="A22" s="3"/>
      <x:c r="B22" s="3"/>
      <x:c r="C22" s="17" t="str">
        <x:v>Przepływy dla wszystkich dostawców kapitału</x:v>
      </x:c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</x:row>
    <x:row r="23" ht="20" customHeight="1">
      <x:c r="A23" s="3"/>
      <x:c r="B23" s="3"/>
      <x:c r="C23" s="3" t="str">
        <x:v>Ekonomiczny capex z ΔCIP</x:v>
      </x:c>
      <x:c r="D23" s="38" t="n">
        <x:f>'Operacje'!D72</x:f>
        <x:v>37500</x:v>
      </x:c>
      <x:c r="E23" s="38" t="n">
        <x:f>'Operacje'!E72</x:f>
        <x:v>64238.3358727604</x:v>
      </x:c>
      <x:c r="F23" s="38" t="n">
        <x:f>'Operacje'!F72</x:f>
        <x:v>99712.59552153166</x:v>
      </x:c>
      <x:c r="G23" s="38" t="n">
        <x:f>'Operacje'!G72</x:f>
        <x:v>143757.46447033712</x:v>
      </x:c>
      <x:c r="H23" s="38" t="n">
        <x:f>'Operacje'!H72</x:f>
        <x:v>171788.10047389506</x:v>
      </x:c>
      <x:c r="I23" s="38" t="n">
        <x:f>'Operacje'!I72</x:f>
        <x:v>131821.90406249</x:v>
      </x:c>
      <x:c r="J23" s="38" t="n">
        <x:f>'Operacje'!J72</x:f>
        <x:v>144035.91813769276</x:v>
      </x:c>
      <x:c r="K23" s="38" t="n">
        <x:f>'Operacje'!K72</x:f>
        <x:v>157442.30726996576</x:v>
      </x:c>
      <x:c r="L23" s="38" t="n">
        <x:f>'Operacje'!L72</x:f>
        <x:v>172156.3061536895</x:v>
      </x:c>
      <x:c r="M23" s="38" t="n">
        <x:f>'Operacje'!M72</x:f>
        <x:v>176640.58771347598</x:v>
      </x:c>
      <x:c r="N23" s="38" t="n">
        <x:f>'Operacje'!N72</x:f>
        <x:v>157007.66880530177</x:v>
      </x:c>
      <x:c r="O23" s="38" t="n">
        <x:f>'Operacje'!O72</x:f>
        <x:v>160996.18980217673</x:v>
      </x:c>
      <x:c r="P23" s="38" t="n">
        <x:f>'Operacje'!P72</x:f>
        <x:v>165092.73288240022</x:v>
      </x:c>
      <x:c r="Q23" s="38" t="n">
        <x:f>'Operacje'!Q72</x:f>
        <x:v>169300.1558541751</x:v>
      </x:c>
      <x:c r="R23" s="38" t="n">
        <x:f>'Operacje'!R72</x:f>
        <x:v>173621.39388598804</x:v>
      </x:c>
      <x:c r="S23" s="38" t="n">
        <x:f>'Operacje'!S72</x:f>
        <x:v>174625.9200742428</x:v>
      </x:c>
    </x:row>
    <x:row r="24" ht="20" customHeight="1">
      <x:c r="A24" s="3"/>
      <x:c r="B24" s="3"/>
      <x:c r="C24" s="3" t="str">
        <x:v>Zmiana kapitału obrotowego</x:v>
      </x:c>
      <x:c r="D24" s="38" t="n">
        <x:f>'Założenia'!D15*('Operacje'!D73-'Dane'!H9*4)</x:f>
        <x:v>394.0619999999998</x:v>
      </x:c>
      <x:c r="E24" s="38" t="n">
        <x:f>'Założenia'!D15*('Operacje'!E73-'Operacje'!D73)</x:f>
        <x:v>640.0880167388394</x:v>
      </x:c>
      <x:c r="F24" s="38" t="n">
        <x:f>'Założenia'!D15*('Operacje'!F73-'Operacje'!E73)</x:f>
        <x:v>992.3021425417714</x:v>
      </x:c>
      <x:c r="G24" s="38" t="n">
        <x:f>'Założenia'!D15*('Operacje'!G73-'Operacje'!F73)</x:f>
        <x:v>1419.7150914778606</x:v>
      </x:c>
      <x:c r="H24" s="38" t="n">
        <x:f>'Założenia'!D15*('Operacje'!H73-'Operacje'!G73)</x:f>
        <x:v>2045.104731218389</x:v>
      </x:c>
      <x:c r="I24" s="38" t="n">
        <x:f>'Założenia'!D15*('Operacje'!I73-'Operacje'!H73)</x:f>
        <x:v>1568.6761805527779</x:v>
      </x:c>
      <x:c r="J24" s="38" t="n">
        <x:f>'Założenia'!D15*('Operacje'!J73-'Operacje'!I73)</x:f>
        <x:v>999.1526535468909</x:v>
      </x:c>
      <x:c r="K24" s="38" t="n">
        <x:f>'Założenia'!D15*('Operacje'!K73-'Operacje'!J73)</x:f>
        <x:v>1114.4059111064794</x:v>
      </x:c>
      <x:c r="L24" s="38" t="n">
        <x:f>'Założenia'!D15*('Operacje'!L73-'Operacje'!K73)</x:f>
        <x:v>1243.0153319606836</x:v>
      </x:c>
      <x:c r="M24" s="38" t="n">
        <x:f>'Założenia'!D15*('Operacje'!M73-'Operacje'!L73)</x:f>
        <x:v>1386.5915361791442</x:v>
      </x:c>
      <x:c r="N24" s="38" t="n">
        <x:f>'Założenia'!D15*('Operacje'!N73-'Operacje'!M73)</x:f>
        <x:v>835.4383339445677</x:v>
      </x:c>
      <x:c r="O24" s="38" t="n">
        <x:f>'Założenia'!D15*('Operacje'!O73-'Operacje'!N73)</x:f>
        <x:v>517.050129968535</x:v>
      </x:c>
      <x:c r="P24" s="38" t="n">
        <x:f>'Założenia'!D15*('Operacje'!P73-'Operacje'!O73)</x:f>
        <x:v>536.6195758989272</x:v>
      </x:c>
      <x:c r="Q24" s="38" t="n">
        <x:f>'Założenia'!D15*('Operacje'!Q73-'Operacje'!P73)</x:f>
        <x:v>557.0370647137676</x:v>
      </x:c>
      <x:c r="R24" s="38" t="n">
        <x:f>'Założenia'!D15*('Operacje'!R73-'Operacje'!Q73)</x:f>
        <x:v>578.3420891312614</x:v>
      </x:c>
      <x:c r="S24" s="38" t="n">
        <x:f>'Założenia'!D15*('Operacje'!S73-'Operacje'!R73)</x:f>
        <x:v>600.576182531733</x:v>
      </x:c>
    </x:row>
    <x:row r="25" ht="23" customHeight="1">
      <x:c r="A25" s="3"/>
      <x:c r="B25" s="3"/>
      <x:c r="C25" s="45" t="str">
        <x:v>Wolny przepływ dla firmy (FCFF)</x:v>
      </x:c>
      <x:c r="D25" s="46" t="n">
        <x:f>D19+D10-D23-D24</x:f>
        <x:v>-29759.291921364085</x:v>
      </x:c>
      <x:c r="E25" s="46" t="n">
        <x:f>E19+E10-E23-E24</x:f>
        <x:v>-21588.633878186607</x:v>
      </x:c>
      <x:c r="F25" s="46" t="n">
        <x:f>F19+F10-F23-F24</x:f>
        <x:v>-40289.61006429223</x:v>
      </x:c>
      <x:c r="G25" s="46" t="n">
        <x:f>G19+G10-G23-G24</x:f>
        <x:v>-62014.00606733681</x:v>
      </x:c>
      <x:c r="H25" s="46" t="n">
        <x:f>H19+H10-H23-H24</x:f>
        <x:v>-58177.8680290673</x:v>
      </x:c>
      <x:c r="I25" s="46" t="n">
        <x:f>I19+I10-I23-I24</x:f>
        <x:v>11016.423464308173</x:v>
      </x:c>
      <x:c r="J25" s="46" t="n">
        <x:f>J19+J10-J23-J24</x:f>
        <x:v>17186.702539230373</x:v>
      </x:c>
      <x:c r="K25" s="46" t="n">
        <x:f>K19+K10-K23-K24</x:f>
        <x:v>23152.83252617553</x:v>
      </x:c>
      <x:c r="L25" s="46" t="n">
        <x:f>L19+L10-L23-L24</x:f>
        <x:v>28710.152305691656</x:v>
      </x:c>
      <x:c r="M25" s="46" t="n">
        <x:f>M19+M10-M23-M24</x:f>
        <x:v>45585.60870738265</x:v>
      </x:c>
      <x:c r="N25" s="46" t="n">
        <x:f>N19+N10-N23-N24</x:f>
        <x:v>78162.98149338551</x:v>
      </x:c>
      <x:c r="O25" s="46" t="n">
        <x:f>O19+O10-O23-O24</x:f>
        <x:v>82717.02776386357</x:v>
      </x:c>
      <x:c r="P25" s="46" t="n">
        <x:f>P19+P10-P23-P24</x:f>
        <x:v>86672.71711801986</x:v>
      </x:c>
      <x:c r="Q25" s="46" t="n">
        <x:f>Q19+Q10-Q23-Q24</x:f>
        <x:v>90371.67751927649</x:v>
      </x:c>
      <x:c r="R25" s="46" t="n">
        <x:f>R19+R10-R23-R24</x:f>
        <x:v>93809.84191608934</x:v>
      </x:c>
      <x:c r="S25" s="46" t="n">
        <x:f>S19+S10-S23-S24</x:f>
        <x:v>101337.33060855138</x:v>
      </x:c>
    </x:row>
    <x:row r="26" ht="20" customHeight="1">
      <x:c r="A26" s="3"/>
      <x:c r="B26" s="3"/>
      <x:c r="C26" s="3" t="str">
        <x:v>Współczynnik dyskontowy</x:v>
      </x:c>
      <x:c r="D26" s="49" t="n">
        <x:f>(1+'Wycena'!$D$25)^(-D$6)</x:f>
        <x:v>0.9720997682780711</x:v>
      </x:c>
      <x:c r="E26" s="49" t="n">
        <x:f>(1+'Wycena'!$D$25)^(-E$6)</x:f>
        <x:v>0.8680689016958054</x:v>
      </x:c>
      <x:c r="F26" s="49" t="n">
        <x:f>(1+'Wycena'!$D$25)^(-F$6)</x:f>
        <x:v>0.7751710705848138</x:v>
      </x:c>
      <x:c r="G26" s="49" t="n">
        <x:f>(1+'Wycena'!$D$25)^(-G$6)</x:f>
        <x:v>0.6922148547168834</x:v>
      </x:c>
      <x:c r="H26" s="49" t="n">
        <x:f>(1+'Wycena'!$D$25)^(-H$6)</x:f>
        <x:v>0.6181363356726165</x:v>
      </x:c>
      <x:c r="I26" s="49" t="n">
        <x:f>(1+'Wycena'!$D$25)^(-I$6)</x:f>
        <x:v>0.5519854520242069</x:v>
      </x:c>
      <x:c r="J26" s="49" t="n">
        <x:f>(1+'Wycena'!$D$25)^(-J$6)</x:f>
        <x:v>0.49291381474092777</x:v>
      </x:c>
      <x:c r="K26" s="49" t="n">
        <x:f>(1+'Wycena'!$D$25)^(-K$6)</x:f>
        <x:v>0.4401638265491799</x:v>
      </x:c>
      <x:c r="L26" s="49" t="n">
        <x:f>(1+'Wycena'!$D$25)^(-L$6)</x:f>
        <x:v>0.3930589657022439</x:v>
      </x:c>
      <x:c r="M26" s="49" t="n">
        <x:f>(1+'Wycena'!$D$25)^(-M$6)</x:f>
        <x:v>0.35099510954850316</x:v>
      </x:c>
      <x:c r="N26" s="49" t="n">
        <x:f>(1+'Wycena'!$D$25)^(-N$6)</x:f>
        <x:v>0.3134327866223824</x:v>
      </x:c>
      <x:c r="O26" s="49" t="n">
        <x:f>(1+'Wycena'!$D$25)^(-O$6)</x:f>
        <x:v>0.27989025789060556</x:v>
      </x:c>
      <x:c r="P26" s="49" t="n">
        <x:f>(1+'Wycena'!$D$25)^(-P$6)</x:f>
        <x:v>0.24993733842034344</x:v>
      </x:c>
      <x:c r="Q26" s="49" t="n">
        <x:f>(1+'Wycena'!$D$25)^(-Q$6)</x:f>
        <x:v>0.22318988023177647</x:v>
      </x:c>
      <x:c r="R26" s="49" t="n">
        <x:f>(1+'Wycena'!$D$25)^(-R$6)</x:f>
        <x:v>0.19930484557732722</x:v>
      </x:c>
      <x:c r="S26" s="49" t="n">
        <x:f>(1+'Wycena'!$D$25)^(-S$6)</x:f>
        <x:v>0.177975907462075</x:v>
      </x:c>
    </x:row>
    <x:row r="27" ht="23" customHeight="1">
      <x:c r="A27" s="3"/>
      <x:c r="B27" s="3"/>
      <x:c r="C27" s="45" t="str">
        <x:v>Wartość bieżąca FCFF</x:v>
      </x:c>
      <x:c r="D27" s="46" t="n">
        <x:f>D25*D26</x:f>
        <x:v>-28929.0007808775</x:v>
      </x:c>
      <x:c r="E27" s="46" t="n">
        <x:f>E25*E26</x:f>
        <x:v>-18740.421699750303</x:v>
      </x:c>
      <x:c r="F27" s="46" t="n">
        <x:f>F25*F26</x:f>
        <x:v>-31231.3401669821</x:v>
      </x:c>
      <x:c r="G27" s="46" t="n">
        <x:f>G25*G26</x:f>
        <x:v>-42927.016200313476</x:v>
      </x:c>
      <x:c r="H27" s="46" t="n">
        <x:f>H25*H26</x:f>
        <x:v>-35961.85416073273</x:v>
      </x:c>
      <x:c r="I27" s="46" t="n">
        <x:f>I25*I26</x:f>
        <x:v>6080.905485636226</x:v>
      </x:c>
      <x:c r="J27" s="46" t="n">
        <x:f>J25*J26</x:f>
        <x:v>8471.563111429634</x:v>
      </x:c>
      <x:c r="K27" s="46" t="n">
        <x:f>K25*K26</x:f>
        <x:v>10191.039360173738</x:v>
      </x:c>
      <x:c r="L27" s="46" t="n">
        <x:f>L25*L26</x:f>
        <x:v>11284.782770429056</x:v>
      </x:c>
      <x:c r="M27" s="46" t="n">
        <x:f>M25*M26</x:f>
        <x:v>16000.325722082973</x:v>
      </x:c>
      <x:c r="N27" s="46" t="n">
        <x:f>N25*N26</x:f>
        <x:v>24498.841100185524</x:v>
      </x:c>
      <x:c r="O27" s="46" t="n">
        <x:f>O25*O26</x:f>
        <x:v>23151.69023277216</x:v>
      </x:c>
      <x:c r="P27" s="46" t="n">
        <x:f>P25*P26</x:f>
        <x:v>21662.748230137226</x:v>
      </x:c>
      <x:c r="Q27" s="46" t="n">
        <x:f>Q25*Q26</x:f>
        <x:v>20170.043881872047</x:v>
      </x:c>
      <x:c r="R27" s="46" t="n">
        <x:f>R25*R26</x:f>
        <x:v>18696.756056719663</x:v>
      </x:c>
      <x:c r="S27" s="46" t="n">
        <x:f>S25*S26</x:f>
        <x:v>18035.60337484124</x:v>
      </x:c>
    </x:row>
    <x:row r="28" ht="20" customHeight="1">
      <x:c r="A28" s="3"/>
      <x:c r="B28" s="3"/>
      <x:c r="C28" s="3" t="str">
        <x:v>Skumulowany FCFF</x:v>
      </x:c>
      <x:c r="D28" s="40" t="n">
        <x:f>D25</x:f>
        <x:v>-29759.291921364085</x:v>
      </x:c>
      <x:c r="E28" s="40" t="n">
        <x:f>D28+E25</x:f>
        <x:v>-51347.92579955069</x:v>
      </x:c>
      <x:c r="F28" s="40" t="n">
        <x:f>E28+F25</x:f>
        <x:v>-91637.53586384293</x:v>
      </x:c>
      <x:c r="G28" s="40" t="n">
        <x:f>F28+G25</x:f>
        <x:v>-153651.54193117976</x:v>
      </x:c>
      <x:c r="H28" s="40" t="n">
        <x:f>G28+H25</x:f>
        <x:v>-211829.40996024705</x:v>
      </x:c>
      <x:c r="I28" s="40" t="n">
        <x:f>H28+I25</x:f>
        <x:v>-200812.98649593888</x:v>
      </x:c>
      <x:c r="J28" s="40" t="n">
        <x:f>I28+J25</x:f>
        <x:v>-183626.2839567085</x:v>
      </x:c>
      <x:c r="K28" s="40" t="n">
        <x:f>J28+K25</x:f>
        <x:v>-160473.45143053296</x:v>
      </x:c>
      <x:c r="L28" s="40" t="n">
        <x:f>K28+L25</x:f>
        <x:v>-131763.29912484132</x:v>
      </x:c>
      <x:c r="M28" s="40" t="n">
        <x:f>L28+M25</x:f>
        <x:v>-86177.69041745867</x:v>
      </x:c>
      <x:c r="N28" s="40" t="n">
        <x:f>M28+N25</x:f>
        <x:v>-8014.708924073158</x:v>
      </x:c>
      <x:c r="O28" s="40" t="n">
        <x:f>N28+O25</x:f>
        <x:v>74702.31883979042</x:v>
      </x:c>
      <x:c r="P28" s="40" t="n">
        <x:f>O28+P25</x:f>
        <x:v>161375.0359578103</x:v>
      </x:c>
      <x:c r="Q28" s="40" t="n">
        <x:f>P28+Q25</x:f>
        <x:v>251746.7134770868</x:v>
      </x:c>
      <x:c r="R28" s="40" t="n">
        <x:f>Q28+R25</x:f>
        <x:v>345556.55539317615</x:v>
      </x:c>
      <x:c r="S28" s="40" t="n">
        <x:f>R28+S25</x:f>
        <x:v>446893.88600172754</x:v>
      </x:c>
    </x:row>
    <x:row r="29" ht="20" customHeight="1">
      <x:c r="A29" s="3"/>
      <x:c r="B29" s="3"/>
      <x:c r="C29" s="3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  <x:c r="P29" s="14"/>
      <x:c r="Q29" s="14"/>
      <x:c r="R29" s="14"/>
      <x:c r="S29" s="14"/>
    </x:row>
    <x:row r="30" ht="20" customHeight="1">
      <x:c r="A30" s="3"/>
      <x:c r="B30" s="3"/>
      <x:c r="C30" s="3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  <x:c r="P30" s="14"/>
      <x:c r="Q30" s="14"/>
      <x:c r="R30" s="14"/>
      <x:c r="S30" s="14"/>
    </x:row>
    <x:row r="31" ht="23" customHeight="1">
      <x:c r="A31" s="3"/>
      <x:c r="B31" s="3"/>
      <x:c r="C31" s="17" t="str">
        <x:v>Stres ekonomiczny gotówki — diagnostyka</x:v>
      </x:c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</x:row>
    <x:row r="32" ht="20" customHeight="1">
      <x:c r="A32" s="3"/>
      <x:c r="B32" s="3"/>
      <x:c r="C32" s="3" t="str">
        <x:v>Odsetki brutto od obecnego długu</x:v>
      </x:c>
      <x:c r="D32" s="38" t="n">
        <x:f>'Założenia'!$D$188*'Założenia'!D35*D$5</x:f>
        <x:v>776.88</x:v>
      </x:c>
      <x:c r="E32" s="38" t="n">
        <x:f>'Założenia'!$D$188*'Założenia'!D35*E$5</x:f>
        <x:v>3107.52</x:v>
      </x:c>
      <x:c r="F32" s="38" t="n">
        <x:f>'Założenia'!$D$188*'Założenia'!D35*F$5</x:f>
        <x:v>3107.52</x:v>
      </x:c>
      <x:c r="G32" s="38" t="n">
        <x:f>'Założenia'!$D$188*'Założenia'!D35*G$5</x:f>
        <x:v>3107.52</x:v>
      </x:c>
      <x:c r="H32" s="38" t="n">
        <x:f>'Założenia'!$D$188*'Założenia'!D35*H$5</x:f>
        <x:v>3107.52</x:v>
      </x:c>
      <x:c r="I32" s="38" t="n">
        <x:f>'Założenia'!$D$188*'Założenia'!D35*I$5</x:f>
        <x:v>3107.52</x:v>
      </x:c>
      <x:c r="J32" s="38" t="n">
        <x:f>'Założenia'!$D$188*'Założenia'!D35*J$5</x:f>
        <x:v>3107.52</x:v>
      </x:c>
      <x:c r="K32" s="38" t="n">
        <x:f>'Założenia'!$D$188*'Założenia'!D35*K$5</x:f>
        <x:v>3107.52</x:v>
      </x:c>
      <x:c r="L32" s="38" t="n">
        <x:f>'Założenia'!$D$188*'Założenia'!D35*L$5</x:f>
        <x:v>3107.52</x:v>
      </x:c>
      <x:c r="M32" s="38" t="n">
        <x:f>'Założenia'!$D$188*'Założenia'!D35*M$5</x:f>
        <x:v>3107.52</x:v>
      </x:c>
      <x:c r="N32" s="38" t="n">
        <x:f>'Założenia'!$D$188*'Założenia'!D35*N$5</x:f>
        <x:v>3107.52</x:v>
      </x:c>
      <x:c r="O32" s="38" t="n">
        <x:f>'Założenia'!$D$188*'Założenia'!D35*O$5</x:f>
        <x:v>3107.52</x:v>
      </x:c>
      <x:c r="P32" s="38" t="n">
        <x:f>'Założenia'!$D$188*'Założenia'!D35*P$5</x:f>
        <x:v>3107.52</x:v>
      </x:c>
      <x:c r="Q32" s="38" t="n">
        <x:f>'Założenia'!$D$188*'Założenia'!D35*Q$5</x:f>
        <x:v>3107.52</x:v>
      </x:c>
      <x:c r="R32" s="38" t="n">
        <x:f>'Założenia'!$D$188*'Założenia'!D35*R$5</x:f>
        <x:v>3107.52</x:v>
      </x:c>
      <x:c r="S32" s="38" t="n">
        <x:f>'Założenia'!$D$188*'Założenia'!D35*S$5</x:f>
        <x:v>3107.52</x:v>
      </x:c>
    </x:row>
    <x:row r="33" ht="20" customHeight="1">
      <x:c r="A33" s="3"/>
      <x:c r="B33" s="3"/>
      <x:c r="C33" s="3" t="str">
        <x:v>Spłata obecnego długu krótkoterm.</x:v>
      </x:c>
      <x:c r="D33" s="15" t="n">
        <x:v>0</x:v>
      </x:c>
      <x:c r="E33" s="38" t="n">
        <x:f>'Założenia'!$D$189</x:f>
        <x:v>2698</x:v>
      </x:c>
      <x:c r="F33" s="15" t="n">
        <x:v>0</x:v>
      </x:c>
      <x:c r="G33" s="15" t="n">
        <x:v>0</x:v>
      </x:c>
      <x:c r="H33" s="15" t="n">
        <x:v>0</x:v>
      </x:c>
      <x:c r="I33" s="15" t="n">
        <x:v>0</x:v>
      </x:c>
      <x:c r="J33" s="15" t="n">
        <x:v>0</x:v>
      </x:c>
      <x:c r="K33" s="15" t="n">
        <x:v>0</x:v>
      </x:c>
      <x:c r="L33" s="15" t="n">
        <x:v>0</x:v>
      </x:c>
      <x:c r="M33" s="15" t="n">
        <x:v>0</x:v>
      </x:c>
      <x:c r="N33" s="15" t="n">
        <x:v>0</x:v>
      </x:c>
      <x:c r="O33" s="15" t="n">
        <x:v>0</x:v>
      </x:c>
      <x:c r="P33" s="15" t="n">
        <x:v>0</x:v>
      </x:c>
      <x:c r="Q33" s="15" t="n">
        <x:v>0</x:v>
      </x:c>
      <x:c r="R33" s="15" t="n">
        <x:v>0</x:v>
      </x:c>
      <x:c r="S33" s="15" t="n">
        <x:v>0</x:v>
      </x:c>
    </x:row>
    <x:row r="34" ht="23" customHeight="1">
      <x:c r="A34" s="3"/>
      <x:c r="B34" s="3"/>
      <x:c r="C34" s="45" t="str">
        <x:v>Skumulowany przepływ po finansowaniu</x:v>
      </x:c>
      <x:c r="D34" s="46" t="n">
        <x:f>D25-D32-D33</x:f>
        <x:v>-30536.171921364086</x:v>
      </x:c>
      <x:c r="E34" s="46" t="n">
        <x:f>D34+E25-E32-E33</x:f>
        <x:v>-57930.325799550694</x:v>
      </x:c>
      <x:c r="F34" s="46" t="n">
        <x:f>E34+F25-F32-F33</x:f>
        <x:v>-101327.45586384293</x:v>
      </x:c>
      <x:c r="G34" s="46" t="n">
        <x:f>F34+G25-G32-G33</x:f>
        <x:v>-166448.98193117973</x:v>
      </x:c>
      <x:c r="H34" s="46" t="n">
        <x:f>G34+H25-H32-H33</x:f>
        <x:v>-227734.36996024702</x:v>
      </x:c>
      <x:c r="I34" s="46" t="n">
        <x:f>H34+I25-I32-I33</x:f>
        <x:v>-219825.46649593883</x:v>
      </x:c>
      <x:c r="J34" s="46" t="n">
        <x:f>I34+J25-J32-J33</x:f>
        <x:v>-205746.28395670844</x:v>
      </x:c>
      <x:c r="K34" s="46" t="n">
        <x:f>J34+K25-K32-K33</x:f>
        <x:v>-185700.9714305329</x:v>
      </x:c>
      <x:c r="L34" s="46" t="n">
        <x:f>K34+L25-L32-L33</x:f>
        <x:v>-160098.33912484124</x:v>
      </x:c>
      <x:c r="M34" s="46" t="n">
        <x:f>L34+M25-M32-M33</x:f>
        <x:v>-117620.25041745859</x:v>
      </x:c>
      <x:c r="N34" s="46" t="n">
        <x:f>M34+N25-N32-N33</x:f>
        <x:v>-42564.78892407308</x:v>
      </x:c>
      <x:c r="O34" s="46" t="n">
        <x:f>N34+O25-O32-O33</x:f>
        <x:v>37044.7188397905</x:v>
      </x:c>
      <x:c r="P34" s="46" t="n">
        <x:f>O34+P25-P32-P33</x:f>
        <x:v>120609.91595781036</x:v>
      </x:c>
      <x:c r="Q34" s="46" t="n">
        <x:f>P34+Q25-Q32-Q33</x:f>
        <x:v>207874.07347708687</x:v>
      </x:c>
      <x:c r="R34" s="46" t="n">
        <x:f>Q34+R25-R32-R33</x:f>
        <x:v>298576.3953931762</x:v>
      </x:c>
      <x:c r="S34" s="46" t="n">
        <x:f>R34+S25-S32-S33</x:f>
        <x:v>396806.20600172755</x:v>
      </x:c>
    </x:row>
    <x:row r="35" ht="20" customHeight="1">
      <x:c r="A35" s="3"/>
      <x:c r="B35" s="3"/>
      <x:c r="C35" s="3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  <x:c r="P35" s="14"/>
      <x:c r="Q35" s="14"/>
      <x:c r="R35" s="14"/>
      <x:c r="S35" s="14"/>
    </x:row>
    <x:row r="36" ht="20" customHeight="1">
      <x:c r="A36" s="3"/>
      <x:c r="B36" s="3"/>
      <x:c r="C36" s="3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  <x:c r="P36" s="14"/>
      <x:c r="Q36" s="14"/>
      <x:c r="R36" s="14"/>
      <x:c r="S36" s="14"/>
    </x:row>
    <x:row r="37" ht="20" customHeight="1">
      <x:c r="A37" s="3"/>
      <x:c r="B37" s="3"/>
      <x:c r="C37" s="3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  <x:c r="P37" s="14"/>
      <x:c r="Q37" s="14"/>
      <x:c r="R37" s="14"/>
      <x:c r="S37" s="14"/>
    </x:row>
    <x:row r="38" ht="23" customHeight="1">
      <x:c r="A38" s="3"/>
      <x:c r="B38" s="3"/>
      <x:c r="C38" s="17" t="str">
        <x:v>Wynik operacyjny według segmentów</x:v>
      </x:c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</x:row>
    <x:row r="39" ht="20" customHeight="1">
      <x:c r="A39" s="3"/>
      <x:c r="B39" s="3"/>
      <x:c r="C39" s="3" t="str">
        <x:v>Space: EBIT</x:v>
      </x:c>
      <x:c r="D39" s="38" t="n">
        <x:f>'Operacje'!D39-'Nakłady i D&amp;A'!D29</x:f>
        <x:v>-488.1735714285715</x:v>
      </x:c>
      <x:c r="E39" s="38" t="n">
        <x:f>'Operacje'!E39-'Nakłady i D&amp;A'!E29</x:f>
        <x:v>-1723.1011757471044</x:v>
      </x:c>
      <x:c r="F39" s="38" t="n">
        <x:f>'Operacje'!F39-'Nakłady i D&amp;A'!F29</x:f>
        <x:v>-1796.4036694569859</x:v>
      </x:c>
      <x:c r="G39" s="38" t="n">
        <x:f>'Operacje'!G39-'Nakłady i D&amp;A'!G29</x:f>
        <x:v>-1737.9993285035746</x:v>
      </x:c>
      <x:c r="H39" s="38" t="n">
        <x:f>'Operacje'!H39-'Nakłady i D&amp;A'!H29</x:f>
        <x:v>-1593.7471910920572</x:v>
      </x:c>
      <x:c r="I39" s="38" t="n">
        <x:f>'Operacje'!I39-'Nakłady i D&amp;A'!I29</x:f>
        <x:v>-1481.8912466331274</x:v>
      </x:c>
      <x:c r="J39" s="38" t="n">
        <x:f>'Operacje'!J39-'Nakłady i D&amp;A'!J29</x:f>
        <x:v>-1318.3184115121958</x:v>
      </x:c>
      <x:c r="K39" s="38" t="n">
        <x:f>'Operacje'!K39-'Nakłady i D&amp;A'!K29</x:f>
        <x:v>-782.9249159630062</x:v>
      </x:c>
      <x:c r="L39" s="38" t="n">
        <x:f>'Operacje'!L39-'Nakłady i D&amp;A'!L29</x:f>
        <x:v>444.4867232402712</x:v>
      </x:c>
      <x:c r="M39" s="38" t="n">
        <x:f>'Operacje'!M39-'Nakłady i D&amp;A'!M29</x:f>
        <x:v>755.6368974297798</x:v>
      </x:c>
      <x:c r="N39" s="38" t="n">
        <x:f>'Operacje'!N39-'Nakłady i D&amp;A'!N29</x:f>
        <x:v>637.3753574335396</x:v>
      </x:c>
      <x:c r="O39" s="38" t="n">
        <x:f>'Operacje'!O39-'Nakłady i D&amp;A'!O29</x:f>
        <x:v>895.8087525696974</x:v>
      </x:c>
      <x:c r="P39" s="38" t="n">
        <x:f>'Operacje'!P39-'Nakłady i D&amp;A'!P29</x:f>
        <x:v>1273.6273272406888</x:v>
      </x:c>
      <x:c r="Q39" s="38" t="n">
        <x:f>'Operacje'!Q39-'Nakłady i D&amp;A'!Q29</x:f>
        <x:v>1631.8889172080844</x:v>
      </x:c>
      <x:c r="R39" s="38" t="n">
        <x:f>'Operacje'!R39-'Nakłady i D&amp;A'!R29</x:f>
        <x:v>1972.205909751562</x:v>
      </x:c>
      <x:c r="S39" s="38" t="n">
        <x:f>'Operacje'!S39-'Nakłady i D&amp;A'!S29</x:f>
        <x:v>2301.705903180679</x:v>
      </x:c>
    </x:row>
    <x:row r="40" ht="20" customHeight="1">
      <x:c r="A40" s="3"/>
      <x:c r="B40" s="3"/>
      <x:c r="C40" s="3" t="str">
        <x:v>Connectivity: EBIT</x:v>
      </x:c>
      <x:c r="D40" s="38" t="n">
        <x:f>'Operacje'!D24-SUM('Nakłady i D&amp;A'!D54,'Nakłady i D&amp;A'!D79)</x:f>
        <x:v>2466.9558541071433</x:v>
      </x:c>
      <x:c r="E40" s="38" t="n">
        <x:f>'Operacje'!E24-SUM('Nakłady i D&amp;A'!E54,'Nakłady i D&amp;A'!E79)</x:f>
        <x:v>10449.083814619387</x:v>
      </x:c>
      <x:c r="F40" s="38" t="n">
        <x:f>'Operacje'!F24-SUM('Nakłady i D&amp;A'!F54,'Nakłady i D&amp;A'!F79)</x:f>
        <x:v>11873.330815652142</x:v>
      </x:c>
      <x:c r="G40" s="38" t="n">
        <x:f>'Operacje'!G24-SUM('Nakłady i D&amp;A'!G54,'Nakłady i D&amp;A'!G79)</x:f>
        <x:v>17221.180428875436</x:v>
      </x:c>
      <x:c r="H40" s="38" t="n">
        <x:f>'Operacje'!H24-SUM('Nakłady i D&amp;A'!H54,'Nakłady i D&amp;A'!H79)</x:f>
        <x:v>20614.502087168323</x:v>
      </x:c>
      <x:c r="I40" s="38" t="n">
        <x:f>'Operacje'!I24-SUM('Nakłady i D&amp;A'!I54,'Nakłady i D&amp;A'!I79)</x:f>
        <x:v>22074.571587786417</x:v>
      </x:c>
      <x:c r="J40" s="38" t="n">
        <x:f>'Operacje'!J24-SUM('Nakłady i D&amp;A'!J54,'Nakłady i D&amp;A'!J79)</x:f>
        <x:v>24085.846751846264</x:v>
      </x:c>
      <x:c r="K40" s="38" t="n">
        <x:f>'Operacje'!K24-SUM('Nakłady i D&amp;A'!K54,'Nakłady i D&amp;A'!K79)</x:f>
        <x:v>26653.682885647067</x:v>
      </x:c>
      <x:c r="L40" s="38" t="n">
        <x:f>'Operacje'!L24-SUM('Nakłady i D&amp;A'!L54,'Nakłady i D&amp;A'!L79)</x:f>
        <x:v>29972.242716472952</x:v>
      </x:c>
      <x:c r="M40" s="38" t="n">
        <x:f>'Operacje'!M24-SUM('Nakłady i D&amp;A'!M54,'Nakłady i D&amp;A'!M79)</x:f>
        <x:v>33479.76700529587</x:v>
      </x:c>
      <x:c r="N40" s="38" t="n">
        <x:f>'Operacje'!N24-SUM('Nakłady i D&amp;A'!N54,'Nakłady i D&amp;A'!N79)</x:f>
        <x:v>33596.48693776007</x:v>
      </x:c>
      <x:c r="O40" s="38" t="n">
        <x:f>'Operacje'!O24-SUM('Nakłady i D&amp;A'!O54,'Nakłady i D&amp;A'!O79)</x:f>
        <x:v>33838.89595506087</x:v>
      </x:c>
      <x:c r="P40" s="38" t="n">
        <x:f>'Operacje'!P24-SUM('Nakłady i D&amp;A'!P54,'Nakłady i D&amp;A'!P79)</x:f>
        <x:v>34443.03310685631</x:v>
      </x:c>
      <x:c r="Q40" s="38" t="n">
        <x:f>'Operacje'!Q24-SUM('Nakłady i D&amp;A'!Q54,'Nakłady i D&amp;A'!Q79)</x:f>
        <x:v>35411.79289286763</x:v>
      </x:c>
      <x:c r="R40" s="38" t="n">
        <x:f>'Operacje'!R24-SUM('Nakłady i D&amp;A'!R54,'Nakłady i D&amp;A'!R79)</x:f>
        <x:v>36627.94038041034</x:v>
      </x:c>
      <x:c r="S40" s="38" t="n">
        <x:f>'Operacje'!S24-SUM('Nakłady i D&amp;A'!S54,'Nakłady i D&amp;A'!S79)</x:f>
        <x:v>37933.94818796382</x:v>
      </x:c>
    </x:row>
    <x:row r="41" ht="20" customHeight="1">
      <x:c r="A41" s="3"/>
      <x:c r="B41" s="3"/>
      <x:c r="C41" s="3" t="str">
        <x:v>SI: EBIT</x:v>
      </x:c>
      <x:c r="D41" s="38" t="n">
        <x:f>'Operacje'!D57-SUM('Nakłady i D&amp;A'!D104,'Nakłady i D&amp;A'!D129,'Nakłady i D&amp;A'!D154)</x:f>
        <x:v>440.7934027777792</x:v>
      </x:c>
      <x:c r="E41" s="38" t="n">
        <x:f>'Operacje'!E57-SUM('Nakłady i D&amp;A'!E104,'Nakłady i D&amp;A'!E129,'Nakłady i D&amp;A'!E154)</x:f>
        <x:v>4270.591000015353</x:v>
      </x:c>
      <x:c r="F41" s="38" t="n">
        <x:f>'Operacje'!F57-SUM('Nakłady i D&amp;A'!F104,'Nakłady i D&amp;A'!F129,'Nakłady i D&amp;A'!F154)</x:f>
        <x:v>7470.283483485953</x:v>
      </x:c>
      <x:c r="G41" s="38" t="n">
        <x:f>'Operacje'!G57-SUM('Nakłady i D&amp;A'!G104,'Nakłady i D&amp;A'!G129,'Nakłady i D&amp;A'!G154)</x:f>
        <x:v>16125.08228661659</x:v>
      </x:c>
      <x:c r="H41" s="38" t="n">
        <x:f>'Operacje'!H57-SUM('Nakłady i D&amp;A'!H104,'Nakłady i D&amp;A'!H129,'Nakłady i D&amp;A'!H154)</x:f>
        <x:v>34552.06487980656</x:v>
      </x:c>
      <x:c r="I41" s="38" t="n">
        <x:f>'Operacje'!I57-SUM('Nakłady i D&amp;A'!I104,'Nakłady i D&amp;A'!I129,'Nakłady i D&amp;A'!I154)</x:f>
        <x:v>36732.829825001405</x:v>
      </x:c>
      <x:c r="J41" s="38" t="n">
        <x:f>'Operacje'!J57-SUM('Nakłady i D&amp;A'!J104,'Nakłady i D&amp;A'!J129,'Nakłady i D&amp;A'!J154)</x:f>
        <x:v>40759.57003109994</x:v>
      </x:c>
      <x:c r="K41" s="38" t="n">
        <x:f>'Operacje'!K57-SUM('Nakłady i D&amp;A'!K104,'Nakłady i D&amp;A'!K129,'Nakłady i D&amp;A'!K154)</x:f>
        <x:v>46265.348730970334</x:v>
      </x:c>
      <x:c r="L41" s="38" t="n">
        <x:f>'Operacje'!L57-SUM('Nakłady i D&amp;A'!L104,'Nakłady i D&amp;A'!L129,'Nakłady i D&amp;A'!L154)</x:f>
        <x:v>56852.35517170046</x:v>
      </x:c>
      <x:c r="M41" s="38" t="n">
        <x:f>'Operacje'!M57-SUM('Nakłady i D&amp;A'!M104,'Nakłady i D&amp;A'!M129,'Nakłady i D&amp;A'!M154)</x:f>
        <x:v>75132.57724966865</x:v>
      </x:c>
      <x:c r="N41" s="38" t="n">
        <x:f>'Operacje'!N57-SUM('Nakłady i D&amp;A'!N104,'Nakłady i D&amp;A'!N129,'Nakłady i D&amp;A'!N154)</x:f>
        <x:v>86390.96700000983</x:v>
      </x:c>
      <x:c r="O41" s="38" t="n">
        <x:f>'Operacje'!O57-SUM('Nakłady i D&amp;A'!O104,'Nakłady i D&amp;A'!O129,'Nakłady i D&amp;A'!O154)</x:f>
        <x:v>89860.69270942397</x:v>
      </x:c>
      <x:c r="P41" s="38" t="n">
        <x:f>'Operacje'!P57-SUM('Nakłady i D&amp;A'!P104,'Nakłady i D&amp;A'!P129,'Nakłady i D&amp;A'!P154)</x:f>
        <x:v>94793.28741669896</x:v>
      </x:c>
      <x:c r="Q41" s="38" t="n">
        <x:f>'Operacje'!Q57-SUM('Nakłady i D&amp;A'!Q104,'Nakłady i D&amp;A'!Q129,'Nakłady i D&amp;A'!Q154)</x:f>
        <x:v>101357.13304301853</x:v>
      </x:c>
      <x:c r="R41" s="38" t="n">
        <x:f>'Operacje'!R57-SUM('Nakłady i D&amp;A'!R104,'Nakłady i D&amp;A'!R129,'Nakłady i D&amp;A'!R154)</x:f>
        <x:v>109737.37465688259</x:v>
      </x:c>
      <x:c r="S41" s="38" t="n">
        <x:f>'Operacje'!S57-SUM('Nakłady i D&amp;A'!S104,'Nakłady i D&amp;A'!S129,'Nakłady i D&amp;A'!S154)</x:f>
        <x:v>116474.54212418573</x:v>
      </x:c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 t="str">
        <x:v>Stres ekonomiczny po ekwiwalencie gotówkowym SBC. Nie oznacza dosłownej potrzeby pożyczkowej.</x:v>
      </x:c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 t="str">
        <x:v>Odsetki brutto i najbliższa spłata nie są pełnym planem płynności. Luka nie jest ponownie odejmowana od equity.</x:v>
      </x:c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E5D6BC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05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dane raportowane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0" customHeight="1">
      <x:c r="A5" s="3"/>
      <x:c r="B5" s="3"/>
      <x:c r="C5" s="10" t="str">
        <x:v>USD mln. Dane historyczne obejmują wspólnie kontrolowane SpaceX, xAI i X.</x:v>
      </x:c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4" customHeight="1">
      <x:c r="A7" s="3"/>
      <x:c r="B7" s="3"/>
      <x:c r="C7" s="13" t="str">
        <x:v>Pozycja</x:v>
      </x:c>
      <x:c r="D7" s="13" t="str">
        <x:v>2023</x:v>
      </x:c>
      <x:c r="E7" s="13" t="str">
        <x:v>2024</x:v>
      </x:c>
      <x:c r="F7" s="13" t="str">
        <x:v>2025</x:v>
      </x:c>
      <x:c r="G7" s="13" t="str">
        <x:v>9M:26</x:v>
      </x:c>
      <x:c r="H7" s="13" t="str">
        <x:v>Q3:26</x:v>
      </x:c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3" customHeight="1">
      <x:c r="A8" s="3"/>
      <x:c r="B8" s="3"/>
      <x:c r="C8" s="17" t="str">
        <x:v>Grupa</x:v>
      </x:c>
      <x:c r="D8" s="17"/>
      <x:c r="E8" s="17"/>
      <x:c r="F8" s="17"/>
      <x:c r="G8" s="17"/>
      <x:c r="H8" s="17"/>
      <x:c r="I8" s="3"/>
      <x:c r="J8" s="3" t="str">
        <x:v>2023–2025: badane sprawozdania GAAP w prospekcie z 5.06.2026.</x:v>
      </x:c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 t="str">
        <x:v>Przychody grupy</x:v>
      </x:c>
      <x:c r="D9" s="15" t="n">
        <x:v>10387</x:v>
      </x:c>
      <x:c r="E9" s="15" t="n">
        <x:v>14015</x:v>
      </x:c>
      <x:c r="F9" s="15" t="n">
        <x:v>18674</x:v>
      </x:c>
      <x:c r="G9" s="15" t="n">
        <x:v>27083</x:v>
      </x:c>
      <x:c r="H9" s="15" t="n">
        <x:v>14575</x:v>
      </x:c>
      <x:c r="I9" s="3"/>
      <x:c r="J9" s="18" t="str">
        <x:v>https://content.spacex.com/cms-assets/FINAL_Documents%20and%20Updates/SpaceX%20-%20EU%20Prospectus%20%28Approved%20by%20Bafin%29%20-%20June%205%2C%202026.pdf</x:v>
      </x:c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3" t="str">
        <x:v>EBIT grupy (GAAP)</x:v>
      </x:c>
      <x:c r="D10" s="15" t="n">
        <x:v>-3505</x:v>
      </x:c>
      <x:c r="E10" s="15" t="n">
        <x:v>466</x:v>
      </x:c>
      <x:c r="F10" s="15" t="n">
        <x:v>-2589</x:v>
      </x:c>
      <x:c r="G10" s="15" t="n">
        <x:v>705</x:v>
      </x:c>
      <x:c r="H10" s="15" t="n">
        <x:v>2791</x:v>
      </x:c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D&amp;A</x:v>
      </x:c>
      <x:c r="D11" s="15" t="n">
        <x:v>2635</x:v>
      </x:c>
      <x:c r="E11" s="15" t="n">
        <x:v>3824</x:v>
      </x:c>
      <x:c r="F11" s="15" t="n">
        <x:v>6701</x:v>
      </x:c>
      <x:c r="G11" s="15" t="n">
        <x:v>8934</x:v>
      </x:c>
      <x:c r="H11" s="15" t="n">
        <x:v>3644</x:v>
      </x:c>
      <x:c r="I11" s="3"/>
      <x:c r="J11" s="3" t="str">
        <x:v>9M:26 i Q3:26: niebadane dane GAAP, publikacja 20.10.2026.</x:v>
      </x:c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Wynagrodzenia akcjami (SBC)</x:v>
      </x:c>
      <x:c r="D12" s="15" t="n">
        <x:v>679</x:v>
      </x:c>
      <x:c r="E12" s="15" t="n">
        <x:v>784</x:v>
      </x:c>
      <x:c r="F12" s="15" t="n">
        <x:v>1947</x:v>
      </x:c>
      <x:c r="G12" s="15" t="n">
        <x:v>3833</x:v>
      </x:c>
      <x:c r="H12" s="15" t="n">
        <x:v>2363</x:v>
      </x:c>
      <x:c r="I12" s="3"/>
      <x:c r="J12" s="18" t="str">
        <x:v>https://www.sec.gov/Archives/edgar/data/1181412/000162828026066482/spaceexplorationtechnologi.htm</x:v>
      </x:c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Przepływy operacyjne (CFO)</x:v>
      </x:c>
      <x:c r="D13" s="15" t="n">
        <x:v>4520</x:v>
      </x:c>
      <x:c r="E13" s="15" t="n">
        <x:v>5776</x:v>
      </x:c>
      <x:c r="F13" s="15" t="n">
        <x:v>6785</x:v>
      </x:c>
      <x:c r="G13" s="15" t="n">
        <x:v>13097</x:v>
      </x:c>
      <x:c r="H13" s="15" t="n">
        <x:v>9631</x:v>
      </x:c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 t="str">
        <x:v>Gotówkowe zakupy PP&amp;E</x:v>
      </x:c>
      <x:c r="D14" s="15" t="n">
        <x:v>4415</x:v>
      </x:c>
      <x:c r="E14" s="15" t="n">
        <x:v>11163</x:v>
      </x:c>
      <x:c r="F14" s="15" t="n">
        <x:v>20737</x:v>
      </x:c>
      <x:c r="G14" s="15" t="n">
        <x:v>48069</x:v>
      </x:c>
      <x:c r="H14" s="15" t="n">
        <x:v>19593</x:v>
      </x:c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3" t="str">
        <x:v>Zysk netto (GAAP)</x:v>
      </x:c>
      <x:c r="D15" s="15" t="n">
        <x:v>-4628</x:v>
      </x:c>
      <x:c r="E15" s="15" t="n">
        <x:v>791</x:v>
      </x:c>
      <x:c r="F15" s="15" t="n">
        <x:v>-4937</x:v>
      </x:c>
      <x:c r="G15" s="15" t="n">
        <x:v>-413</x:v>
      </x:c>
      <x:c r="H15" s="15" t="n">
        <x:v>4404</x:v>
      </x:c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3" customHeight="1">
      <x:c r="A18" s="3"/>
      <x:c r="B18" s="3"/>
      <x:c r="C18" s="17" t="str">
        <x:v>Space</x:v>
      </x:c>
      <x:c r="D18" s="17"/>
      <x:c r="E18" s="17"/>
      <x:c r="F18" s="17"/>
      <x:c r="G18" s="17"/>
      <x:c r="H18" s="17"/>
      <x:c r="I18" s="3"/>
      <x:c r="J18" s="3"/>
      <x:c r="K18" s="3"/>
      <x:c r="L18" s="3"/>
      <x:c r="M18" s="3"/>
      <x:c r="N18" s="3"/>
      <x:c r="O18" s="3"/>
      <x:c r="P18" s="3"/>
      <x:c r="Q18" s="3"/>
      <x:c r="R18" s="3"/>
      <x:c r="S18" s="3"/>
    </x:row>
    <x:row r="19" ht="20" customHeight="1">
      <x:c r="A19" s="3"/>
      <x:c r="B19" s="3"/>
      <x:c r="C19" s="3" t="str">
        <x:v>Space: przychody</x:v>
      </x:c>
      <x:c r="D19" s="15" t="n">
        <x:v>3557</x:v>
      </x:c>
      <x:c r="E19" s="15" t="n">
        <x:v>3796</x:v>
      </x:c>
      <x:c r="F19" s="15" t="n">
        <x:v>4086</x:v>
      </x:c>
      <x:c r="G19" s="15" t="n">
        <x:v>3348</x:v>
      </x:c>
      <x:c r="H19" s="15" t="n">
        <x:v>1767</x:v>
      </x:c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</x:row>
    <x:row r="20" ht="20" customHeight="1">
      <x:c r="A20" s="3"/>
      <x:c r="B20" s="3"/>
      <x:c r="C20" s="3" t="str">
        <x:v>Space: EBIT</x:v>
      </x:c>
      <x:c r="D20" s="15" t="n">
        <x:v>-1</x:v>
      </x:c>
      <x:c r="E20" s="15" t="n">
        <x:v>21</x:v>
      </x:c>
      <x:c r="F20" s="15" t="n">
        <x:v>-657</x:v>
      </x:c>
      <x:c r="G20" s="15" t="n">
        <x:v>-1211</x:v>
      </x:c>
      <x:c r="H20" s="15" t="n">
        <x:v>-7</x:v>
      </x:c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</x:row>
    <x:row r="21" ht="20" customHeight="1">
      <x:c r="A21" s="3"/>
      <x:c r="B21" s="3"/>
      <x:c r="C21" s="3" t="str">
        <x:v>Space: D&amp;A</x:v>
      </x:c>
      <x:c r="D21" s="15" t="n">
        <x:v>571</x:v>
      </x:c>
      <x:c r="E21" s="15" t="n">
        <x:v>637</x:v>
      </x:c>
      <x:c r="F21" s="15" t="n">
        <x:v>757</x:v>
      </x:c>
      <x:c r="G21" s="15" t="n">
        <x:v>509</x:v>
      </x:c>
      <x:c r="H21" s="15" t="n">
        <x:v>185</x:v>
      </x:c>
      <x:c r="I21" s="3"/>
      <x:c r="J21" s="3"/>
      <x:c r="K21" s="3"/>
      <x:c r="L21" s="3"/>
      <x:c r="M21" s="3"/>
      <x:c r="N21" s="3"/>
      <x:c r="O21" s="3"/>
      <x:c r="P21" s="3"/>
      <x:c r="Q21" s="3"/>
      <x:c r="R21" s="3"/>
      <x:c r="S21" s="3"/>
    </x:row>
    <x:row r="22" ht="20" customHeight="1">
      <x:c r="A22" s="3"/>
      <x:c r="B22" s="3"/>
      <x:c r="C22" s="3" t="str">
        <x:v>Space: SBC</x:v>
      </x:c>
      <x:c r="D22" s="15" t="n">
        <x:v>427</x:v>
      </x:c>
      <x:c r="E22" s="15" t="n">
        <x:v>472</x:v>
      </x:c>
      <x:c r="F22" s="15" t="n">
        <x:v>515</x:v>
      </x:c>
      <x:c r="G22" s="15" t="n">
        <x:v>503</x:v>
      </x:c>
      <x:c r="H22" s="15" t="n">
        <x:v>179</x:v>
      </x:c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</x:row>
    <x:row r="23" ht="20" customHeight="1">
      <x:c r="A23" s="3"/>
      <x:c r="B23" s="3"/>
      <x:c r="C23" s="3" t="str">
        <x:v>Space: gotówkowy capex</x:v>
      </x:c>
      <x:c r="D23" s="15" t="n">
        <x:v>1497</x:v>
      </x:c>
      <x:c r="E23" s="15" t="n">
        <x:v>2032</x:v>
      </x:c>
      <x:c r="F23" s="15" t="n">
        <x:v>3832</x:v>
      </x:c>
      <x:c r="G23" s="15" t="n">
        <x:v>3832</x:v>
      </x:c>
      <x:c r="H23" s="15" t="n">
        <x:v>1606</x:v>
      </x:c>
      <x:c r="I23" s="3"/>
      <x:c r="J23" s="3"/>
      <x:c r="K23" s="3"/>
      <x:c r="L23" s="3"/>
      <x:c r="M23" s="3"/>
      <x:c r="N23" s="3"/>
      <x:c r="O23" s="3"/>
      <x:c r="P23" s="3"/>
      <x:c r="Q23" s="3"/>
      <x:c r="R23" s="3"/>
      <x:c r="S23" s="3"/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3" customHeight="1">
      <x:c r="A26" s="3"/>
      <x:c r="B26" s="3"/>
      <x:c r="C26" s="17" t="str">
        <x:v>Connectivity</x:v>
      </x:c>
      <x:c r="D26" s="17"/>
      <x:c r="E26" s="17"/>
      <x:c r="F26" s="17"/>
      <x:c r="G26" s="17"/>
      <x:c r="H26" s="17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Connectivity: przychody</x:v>
      </x:c>
      <x:c r="D27" s="15" t="n">
        <x:v>3869</x:v>
      </x:c>
      <x:c r="E27" s="15" t="n">
        <x:v>7599</x:v>
      </x:c>
      <x:c r="F27" s="15" t="n">
        <x:v>11387</x:v>
      </x:c>
      <x:c r="G27" s="15" t="n">
        <x:v>12796</x:v>
      </x:c>
      <x:c r="H27" s="15" t="n">
        <x:v>5248</x:v>
      </x:c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 t="str">
        <x:v>Connectivity: EBIT</x:v>
      </x:c>
      <x:c r="D28" s="15" t="n">
        <x:v>469</x:v>
      </x:c>
      <x:c r="E28" s="15" t="n">
        <x:v>2006</x:v>
      </x:c>
      <x:c r="F28" s="15" t="n">
        <x:v>4423</x:v>
      </x:c>
      <x:c r="G28" s="15" t="n">
        <x:v>5211</x:v>
      </x:c>
      <x:c r="H28" s="15" t="n">
        <x:v>2367</x:v>
      </x:c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 t="str">
        <x:v>Connectivity: D&amp;A</x:v>
      </x:c>
      <x:c r="D29" s="15" t="n">
        <x:v>884</x:v>
      </x:c>
      <x:c r="E29" s="15" t="n">
        <x:v>1508</x:v>
      </x:c>
      <x:c r="F29" s="15" t="n">
        <x:v>2376</x:v>
      </x:c>
      <x:c r="G29" s="15" t="n">
        <x:v>2574</x:v>
      </x:c>
      <x:c r="H29" s="15" t="n">
        <x:v>986</x:v>
      </x:c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3" t="str">
        <x:v>Connectivity: SBC</x:v>
      </x:c>
      <x:c r="D30" s="15" t="n">
        <x:v>249</x:v>
      </x:c>
      <x:c r="E30" s="15" t="n">
        <x:v>296</x:v>
      </x:c>
      <x:c r="F30" s="15" t="n">
        <x:v>369</x:v>
      </x:c>
      <x:c r="G30" s="15" t="n">
        <x:v>398</x:v>
      </x:c>
      <x:c r="H30" s="15" t="n">
        <x:v>146</x:v>
      </x:c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 t="str">
        <x:v>Connectivity: gotówkowy capex</x:v>
      </x:c>
      <x:c r="D31" s="15" t="n">
        <x:v>2455</x:v>
      </x:c>
      <x:c r="E31" s="15" t="n">
        <x:v>3498</x:v>
      </x:c>
      <x:c r="F31" s="15" t="n">
        <x:v>4178</x:v>
      </x:c>
      <x:c r="G31" s="15" t="n">
        <x:v>4242</x:v>
      </x:c>
      <x:c r="H31" s="15" t="n">
        <x:v>1543</x:v>
      </x:c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3" customHeight="1">
      <x:c r="A34" s="3"/>
      <x:c r="B34" s="3"/>
      <x:c r="C34" s="17" t="str">
        <x:v>Super Intelligence</x:v>
      </x:c>
      <x:c r="D34" s="17"/>
      <x:c r="E34" s="17"/>
      <x:c r="F34" s="17"/>
      <x:c r="G34" s="17"/>
      <x:c r="H34" s="17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3" t="str">
        <x:v>SI: przychody</x:v>
      </x:c>
      <x:c r="D35" s="15" t="n">
        <x:v>2961</x:v>
      </x:c>
      <x:c r="E35" s="15" t="n">
        <x:v>2620</x:v>
      </x:c>
      <x:c r="F35" s="15" t="n">
        <x:v>3201</x:v>
      </x:c>
      <x:c r="G35" s="15" t="n">
        <x:v>10939</x:v>
      </x:c>
      <x:c r="H35" s="15" t="n">
        <x:v>7560</x:v>
      </x:c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 t="str">
        <x:v>SI: EBIT</x:v>
      </x:c>
      <x:c r="D36" s="15" t="n">
        <x:v>-3973</x:v>
      </x:c>
      <x:c r="E36" s="15" t="n">
        <x:v>-1561</x:v>
      </x:c>
      <x:c r="F36" s="15" t="n">
        <x:v>-6355</x:v>
      </x:c>
      <x:c r="G36" s="15" t="n">
        <x:v>-3295</x:v>
      </x:c>
      <x:c r="H36" s="15" t="n">
        <x:v>431</x:v>
      </x:c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 t="str">
        <x:v>SI: D&amp;A</x:v>
      </x:c>
      <x:c r="D37" s="15" t="n">
        <x:v>1180</x:v>
      </x:c>
      <x:c r="E37" s="15" t="n">
        <x:v>1679</x:v>
      </x:c>
      <x:c r="F37" s="15" t="n">
        <x:v>3568</x:v>
      </x:c>
      <x:c r="G37" s="15" t="n">
        <x:v>5851</x:v>
      </x:c>
      <x:c r="H37" s="15" t="n">
        <x:v>2473</x:v>
      </x:c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 t="str">
        <x:v>SI: SBC łącznie</x:v>
      </x:c>
      <x:c r="D38" s="15" t="n">
        <x:v>3</x:v>
      </x:c>
      <x:c r="E38" s="15" t="n">
        <x:v>16</x:v>
      </x:c>
      <x:c r="F38" s="15" t="n">
        <x:v>1063</x:v>
      </x:c>
      <x:c r="G38" s="15" t="n">
        <x:v>2932</x:v>
      </x:c>
      <x:c r="H38" s="15" t="n">
        <x:v>2038</x:v>
      </x:c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 t="str">
        <x:v>SI: gotówkowy capex</x:v>
      </x:c>
      <x:c r="D39" s="15" t="n">
        <x:v>463</x:v>
      </x:c>
      <x:c r="E39" s="15" t="n">
        <x:v>5633</x:v>
      </x:c>
      <x:c r="F39" s="15" t="n">
        <x:v>12727</x:v>
      </x:c>
      <x:c r="G39" s="15" t="n">
        <x:v>39995</x:v>
      </x:c>
      <x:c r="H39" s="15" t="n">
        <x:v>16444</x:v>
      </x:c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3" customHeight="1">
      <x:c r="A43" s="3"/>
      <x:c r="B43" s="3"/>
      <x:c r="C43" s="17" t="str">
        <x:v>Bilans i akcje na 30.09.2026</x:v>
      </x:c>
      <x:c r="D43" s="17"/>
      <x:c r="E43" s="17"/>
      <x:c r="F43" s="17"/>
      <x:c r="G43" s="17"/>
      <x:c r="H43" s="17"/>
      <x:c r="I43" s="3"/>
      <x:c r="J43" s="3" t="str">
        <x:v>Źródło bilansu i akcji: raport Q3:26, s. 10.</x:v>
      </x:c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 t="str">
        <x:v>https://www.sec.gov/Archives/edgar/data/1181412/000162828026066482/spaceexplorationtechnologi.htm</x:v>
      </x:c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 t="str">
        <x:v>Środki pieniężne</x:v>
      </x:c>
      <x:c r="D45" s="15" t="n">
        <x:v>51294</x:v>
      </x:c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 t="str">
        <x:v>Rynkowe papiery wartościowe</x:v>
      </x:c>
      <x:c r="D46" s="15" t="n">
        <x:v>38561</x:v>
      </x:c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 t="str">
        <x:v>Aktywa cyfrowe</x:v>
      </x:c>
      <x:c r="D47" s="15" t="n">
        <x:v>1573</x:v>
      </x:c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 t="str">
        <x:v>PP&amp;E netto</x:v>
      </x:c>
      <x:c r="D48" s="15" t="n">
        <x:v>89483</x:v>
      </x:c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 t="str">
        <x:v>Aktywa z leasingu finansowego</x:v>
      </x:c>
      <x:c r="D49" s="15" t="n">
        <x:v>1040</x:v>
      </x:c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 t="str">
        <x:v>Dług i leasing finansowy — krótkoterm.</x:v>
      </x:c>
      <x:c r="D50" s="15" t="n">
        <x:v>2698</x:v>
      </x:c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  <x:row r="51" ht="20" customHeight="1">
      <x:c r="A51" s="3"/>
      <x:c r="B51" s="3"/>
      <x:c r="C51" s="3" t="str">
        <x:v>Dług i leasing finansowy — długoterm.</x:v>
      </x:c>
      <x:c r="D51" s="15" t="n">
        <x:v>36146</x:v>
      </x:c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  <x:c r="S51" s="3"/>
    </x:row>
    <x:row r="52" ht="20" customHeight="1">
      <x:c r="A52" s="3"/>
      <x:c r="B52" s="3"/>
      <x:c r="C52" s="3" t="str">
        <x:v>Akcje klasy A (mln)</x:v>
      </x:c>
      <x:c r="D52" s="15" t="n">
        <x:v>8240</x:v>
      </x:c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  <x:c r="S52" s="3"/>
    </x:row>
    <x:row r="53" ht="20" customHeight="1">
      <x:c r="A53" s="3"/>
      <x:c r="B53" s="3"/>
      <x:c r="C53" s="3" t="str">
        <x:v>Akcje klasy B (mln)</x:v>
      </x:c>
      <x:c r="D53" s="15" t="n">
        <x:v>5339</x:v>
      </x:c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  <x:c r="S53" s="3"/>
    </x:row>
    <x:row r="54" ht="20" customHeight="1">
      <x:c r="A54" s="3"/>
      <x:c r="B54" s="3"/>
      <x:c r="C54" s="3" t="str">
        <x:v>Akcje ogółem, raportowane (mln)</x:v>
      </x:c>
      <x:c r="D54" s="15" t="n">
        <x:v>13579</x:v>
      </x:c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  <x:c r="S54" s="3"/>
    </x:row>
    <x:row r="55" ht="20" customHeight="1">
      <x:c r="A55" s="3"/>
      <x:c r="B55" s="3"/>
      <x:c r="C55" s="3" t="str">
        <x:v>Aktywa niematerialne netto</x:v>
      </x:c>
      <x:c r="D55" s="15" t="n">
        <x:v>6354</x:v>
      </x:c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  <x:c r="S55" s="3"/>
    </x:row>
    <x:row r="56" ht="20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  <x:c r="S56" s="3"/>
    </x:row>
    <x:row r="57" ht="20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  <x:c r="S57" s="3"/>
    </x:row>
    <x:row r="58" ht="23" customHeight="1">
      <x:c r="A58" s="3"/>
      <x:c r="B58" s="3"/>
      <x:c r="C58" s="17" t="str">
        <x:v>Ujawnione mierniki operacyjne na 30.09.2026</x:v>
      </x:c>
      <x:c r="D58" s="17"/>
      <x:c r="E58" s="17"/>
      <x:c r="F58" s="17"/>
      <x:c r="G58" s="17"/>
      <x:c r="H58" s="17"/>
      <x:c r="I58" s="3"/>
      <x:c r="J58" s="3"/>
      <x:c r="K58" s="3"/>
      <x:c r="L58" s="3"/>
      <x:c r="M58" s="3"/>
      <x:c r="N58" s="3"/>
      <x:c r="O58" s="3"/>
      <x:c r="P58" s="3"/>
      <x:c r="Q58" s="3"/>
      <x:c r="R58" s="3"/>
      <x:c r="S58" s="3"/>
    </x:row>
    <x:row r="59" ht="20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 t="str">
        <x:v>ARPU dotyczy usług konsumenckich i średniej liczby linii w kwartale.</x:v>
      </x:c>
      <x:c r="K59" s="3"/>
      <x:c r="L59" s="3"/>
      <x:c r="M59" s="3"/>
      <x:c r="N59" s="3"/>
      <x:c r="O59" s="3"/>
      <x:c r="P59" s="3"/>
      <x:c r="Q59" s="3"/>
      <x:c r="R59" s="3"/>
      <x:c r="S59" s="3"/>
    </x:row>
    <x:row r="60" ht="20" customHeight="1">
      <x:c r="A60" s="3"/>
      <x:c r="B60" s="3"/>
      <x:c r="C60" s="3" t="str">
        <x:v>Starlink: linie konsumenckie (mln)</x:v>
      </x:c>
      <x:c r="D60" s="15" t="n">
        <x:v>13.6</x:v>
      </x:c>
      <x:c r="E60" s="3"/>
      <x:c r="F60" s="3"/>
      <x:c r="G60" s="3"/>
      <x:c r="H60" s="3"/>
      <x:c r="I60" s="3"/>
      <x:c r="J60" s="3" t="str">
        <x:v>Moc znamionowa nie oznacza średniej mocy dostępnej do rozliczeń.</x:v>
      </x:c>
      <x:c r="K60" s="3"/>
      <x:c r="L60" s="3"/>
      <x:c r="M60" s="3"/>
      <x:c r="N60" s="3"/>
      <x:c r="O60" s="3"/>
      <x:c r="P60" s="3"/>
      <x:c r="Q60" s="3"/>
      <x:c r="R60" s="3"/>
      <x:c r="S60" s="3"/>
    </x:row>
    <x:row r="61" ht="20" customHeight="1">
      <x:c r="A61" s="3"/>
      <x:c r="B61" s="3"/>
      <x:c r="C61" s="3" t="str">
        <x:v>Starlink: miesięczny ARPU (USD)</x:v>
      </x:c>
      <x:c r="D61" s="15" t="n">
        <x:v>69</x:v>
      </x:c>
      <x:c r="E61" s="3"/>
      <x:c r="F61" s="3"/>
      <x:c r="G61" s="3"/>
      <x:c r="H61" s="3"/>
      <x:c r="I61" s="3"/>
      <x:c r="J61" s="3" t="str">
        <x:v>https://www.sec.gov/Archives/edgar/data/1181412/000162828026066482/spaceexplorationtechnologi.htm</x:v>
      </x:c>
      <x:c r="K61" s="3"/>
      <x:c r="L61" s="3"/>
      <x:c r="M61" s="3"/>
      <x:c r="N61" s="3"/>
      <x:c r="O61" s="3"/>
      <x:c r="P61" s="3"/>
      <x:c r="Q61" s="3"/>
      <x:c r="R61" s="3"/>
      <x:c r="S61" s="3"/>
    </x:row>
    <x:row r="62" ht="20" customHeight="1">
      <x:c r="A62" s="3"/>
      <x:c r="B62" s="3"/>
      <x:c r="C62" s="3" t="str">
        <x:v>SI: moc znamionowa (GW)</x:v>
      </x:c>
      <x:c r="D62" s="15" t="n">
        <x:v>1.7</x:v>
      </x:c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</x:row>
    <x:row r="63" ht="20" customHeight="1">
      <x:c r="A63" s="3"/>
      <x:c r="B63" s="3"/>
      <x:c r="C63" s="3" t="str">
        <x:v>Space: starty dla klientów w Q3</x:v>
      </x:c>
      <x:c r="D63" s="15" t="n">
        <x:v>12</x:v>
      </x:c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</x:row>
    <x:row r="64" ht="20" customHeight="1">
      <x:c r="A64" s="3"/>
      <x:c r="B64" s="3"/>
      <x:c r="C64" s="3" t="str">
        <x:v>Space: starty wewnętrzne w Q3</x:v>
      </x:c>
      <x:c r="D64" s="15" t="n">
        <x:v>23</x:v>
      </x:c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  <x:c r="Q64" s="3"/>
      <x:c r="R64" s="3"/>
      <x:c r="S64" s="3"/>
    </x:row>
    <x:row r="65" ht="20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  <x:c r="Q65" s="3"/>
      <x:c r="R65" s="3"/>
      <x:c r="S65" s="3"/>
    </x:row>
    <x:row r="66" ht="20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  <x:c r="Q66" s="3"/>
      <x:c r="R66" s="3"/>
      <x:c r="S66" s="3"/>
    </x:row>
    <x:row r="67" ht="20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  <x:c r="Q67" s="3"/>
      <x:c r="R67" s="3"/>
      <x:c r="S67" s="3"/>
    </x:row>
    <x:row r="68" ht="23" customHeight="1">
      <x:c r="A68" s="3"/>
      <x:c r="B68" s="3"/>
      <x:c r="C68" s="17" t="str">
        <x:v>Ograniczenia danych</x:v>
      </x:c>
      <x:c r="D68" s="17"/>
      <x:c r="E68" s="17"/>
      <x:c r="F68" s="17"/>
      <x:c r="G68" s="17"/>
      <x:c r="H68" s="17"/>
      <x:c r="I68" s="3"/>
      <x:c r="J68" s="3"/>
      <x:c r="K68" s="3"/>
      <x:c r="L68" s="3"/>
      <x:c r="M68" s="3"/>
      <x:c r="N68" s="3"/>
      <x:c r="O68" s="3"/>
      <x:c r="P68" s="3"/>
      <x:c r="Q68" s="3"/>
      <x:c r="R68" s="3"/>
      <x:c r="S68" s="3"/>
    </x:row>
    <x:row r="69" ht="20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  <x:c r="Q69" s="3"/>
      <x:c r="R69" s="3"/>
      <x:c r="S69" s="3"/>
    </x:row>
    <x:row r="70" ht="20" customHeight="1">
      <x:c r="A70" s="3"/>
      <x:c r="B70" s="3"/>
      <x:c r="C70" s="18" t="str">
        <x:v>Aktualna w pełni rozwodniona liczba akcji nie jest ujawniona w raporcie Q3.</x:v>
      </x:c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  <x:c r="Q70" s="3"/>
      <x:c r="R70" s="3"/>
      <x:c r="S70" s="3"/>
    </x:row>
    <x:row r="71" ht="20" customHeight="1">
      <x:c r="A71" s="3"/>
      <x:c r="B71" s="3"/>
      <x:c r="C71" s="18" t="str">
        <x:v>Akcje warunkowe już prawnie wyemitowane nie są dodawane ponownie.</x:v>
      </x:c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  <x:c r="Q71" s="3"/>
      <x:c r="R71" s="3"/>
      <x:c r="S71" s="3"/>
    </x:row>
    <x:row r="72" ht="20" customHeight="1">
      <x:c r="A72" s="3"/>
      <x:c r="B72" s="3"/>
      <x:c r="C72" s="18" t="str">
        <x:v>Nie ujawniono bilansu PP&amp;E według segmentów ani pełnej aktualnej puli NOL.</x:v>
      </x:c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  <x:c r="Q72" s="3"/>
      <x:c r="R72" s="3"/>
      <x:c r="S72" s="3"/>
    </x:row>
    <x:row r="73" ht="20" customHeight="1">
      <x:c r="A73" s="3"/>
      <x:c r="B73" s="3"/>
      <x:c r="C73" s="18" t="str">
        <x:v>Przychody z wewnętrznych startów Starlinka są eliminowane w grupie.</x:v>
      </x:c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  <x:c r="Q73" s="3"/>
      <x:c r="R73" s="3"/>
      <x:c r="S73" s="3"/>
    </x:row>
    <x:row r="74" ht="20" customHeight="1">
      <x:c r="A74" s="3"/>
      <x:c r="B74" s="3"/>
      <x:c r="C74" s="18" t="str">
        <x:v>SBC i R&amp;D są kosztami ekonomicznymi. Nie dodaje się ich automatycznie do FCFF.</x:v>
      </x:c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  <x:c r="Q74" s="3"/>
      <x:c r="R74" s="3"/>
      <x:c r="S74" s="3"/>
    </x:row>
    <x:row r="75" ht="20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  <x:c r="Q75" s="3"/>
      <x:c r="R75" s="3"/>
      <x:c r="S75" s="3"/>
    </x:row>
    <x:row r="76" ht="20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  <x:c r="Q76" s="3"/>
      <x:c r="R76" s="3"/>
      <x:c r="S76" s="3"/>
    </x:row>
    <x:row r="77" ht="20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  <x:c r="Q77" s="3"/>
      <x:c r="R77" s="3"/>
      <x:c r="S77" s="3"/>
    </x:row>
    <x:row r="78" ht="23" customHeight="1">
      <x:c r="A78" s="3"/>
      <x:c r="B78" s="3"/>
      <x:c r="C78" s="17" t="str">
        <x:v>Guidance zarządu z konferencji 20.10.2026 — nie dane rzeczywiste</x:v>
      </x:c>
      <x:c r="D78" s="17"/>
      <x:c r="E78" s="17"/>
      <x:c r="F78" s="17"/>
      <x:c r="G78" s="17"/>
      <x:c r="H78" s="17"/>
      <x:c r="I78" s="3"/>
      <x:c r="J78" s="3"/>
      <x:c r="K78" s="3"/>
      <x:c r="L78" s="3"/>
      <x:c r="M78" s="3"/>
      <x:c r="N78" s="3"/>
      <x:c r="O78" s="3"/>
      <x:c r="P78" s="3"/>
      <x:c r="Q78" s="3"/>
      <x:c r="R78" s="3"/>
      <x:c r="S78" s="3"/>
    </x:row>
    <x:row r="79" ht="20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 t="str">
        <x:v>https://www.marketwatch.com/livecoverage/spacex-earnings-stock-results-musk-spcx/card/spacex-could-spend-double-what-analysts-were-expecting-for-the-current-quarter-72CiSTJl84gDvOBfGPLe</x:v>
      </x:c>
      <x:c r="K79" s="3"/>
      <x:c r="L79" s="3"/>
      <x:c r="M79" s="3"/>
      <x:c r="N79" s="3"/>
      <x:c r="O79" s="3"/>
      <x:c r="P79" s="3"/>
      <x:c r="Q79" s="3"/>
      <x:c r="R79" s="3"/>
      <x:c r="S79" s="3"/>
    </x:row>
    <x:row r="80" ht="20" customHeight="1">
      <x:c r="A80" s="3"/>
      <x:c r="B80" s="3"/>
      <x:c r="C80" s="3" t="str">
        <x:v>Q4:26: capex — dolny zakres</x:v>
      </x:c>
      <x:c r="D80" s="19" t="n">
        <x:v>35000</x:v>
      </x:c>
      <x:c r="E80" s="3"/>
      <x:c r="F80" s="3"/>
      <x:c r="G80" s="3"/>
      <x:c r="H80" s="3"/>
      <x:c r="I80" s="3"/>
      <x:c r="J80" s="3" t="str">
        <x:v>https://www.marketwatch.com/livecoverage/spacex-earnings-stock-results-musk-spcx/card/spacex-just-gave-a-big-forecast-for-the-start-of-next-year-E0RmJzW2e1bFcLk4cOff</x:v>
      </x:c>
      <x:c r="K80" s="3"/>
      <x:c r="L80" s="3"/>
      <x:c r="M80" s="3"/>
      <x:c r="N80" s="3"/>
      <x:c r="O80" s="3"/>
      <x:c r="P80" s="3"/>
      <x:c r="Q80" s="3"/>
      <x:c r="R80" s="3"/>
      <x:c r="S80" s="3"/>
    </x:row>
    <x:row r="81" ht="20" customHeight="1">
      <x:c r="A81" s="3"/>
      <x:c r="B81" s="3"/>
      <x:c r="C81" s="3" t="str">
        <x:v>Q4:26: capex — górny zakres</x:v>
      </x:c>
      <x:c r="D81" s="19" t="n">
        <x:v>40000</x:v>
      </x:c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  <x:c r="Q81" s="3"/>
      <x:c r="R81" s="3"/>
      <x:c r="S81" s="3"/>
    </x:row>
    <x:row r="82" ht="20" customHeight="1">
      <x:c r="A82" s="3"/>
      <x:c r="B82" s="3"/>
      <x:c r="C82" s="3" t="str">
        <x:v>Q1:27: przychody — dolny zakres</x:v>
      </x:c>
      <x:c r="D82" s="19" t="n">
        <x:v>33000</x:v>
      </x:c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  <x:c r="Q82" s="3"/>
      <x:c r="R82" s="3"/>
      <x:c r="S82" s="3"/>
    </x:row>
    <x:row r="83" ht="20" customHeight="1">
      <x:c r="A83" s="3"/>
      <x:c r="B83" s="3"/>
      <x:c r="C83" s="3" t="str">
        <x:v>Q1:27: przychody — górny zakres</x:v>
      </x:c>
      <x:c r="D83" s="19" t="n">
        <x:v>37000</x:v>
      </x:c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  <x:c r="Q83" s="3"/>
      <x:c r="R83" s="3"/>
      <x:c r="S83" s="3"/>
    </x:row>
    <x:row r="84" ht="20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  <x:c r="Q84" s="3"/>
      <x:c r="R84" s="3"/>
      <x:c r="S84" s="3"/>
    </x:row>
    <x:row r="85" ht="20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  <x:c r="Q85" s="3"/>
      <x:c r="R85" s="3"/>
      <x:c r="S85" s="3"/>
    </x:row>
    <x:row r="86" ht="20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  <x:c r="Q86" s="3"/>
      <x:c r="R86" s="3"/>
      <x:c r="S86" s="3"/>
    </x:row>
    <x:row r="87" ht="20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  <x:c r="Q87" s="3"/>
      <x:c r="R87" s="3"/>
      <x:c r="S87" s="3"/>
    </x:row>
    <x:row r="88" ht="20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  <x:c r="Q88" s="3"/>
      <x:c r="R88" s="3"/>
      <x:c r="S88" s="3"/>
    </x:row>
    <x:row r="89" ht="20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  <x:c r="Q89" s="3"/>
      <x:c r="R89" s="3"/>
      <x:c r="S89" s="3"/>
    </x:row>
    <x:row r="90" ht="20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  <x:c r="Q90" s="3"/>
      <x:c r="R90" s="3"/>
      <x:c r="S90" s="3"/>
    </x:row>
    <x:row r="91" ht="20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  <x:c r="Q91" s="3"/>
      <x:c r="R91" s="3"/>
      <x:c r="S91" s="3"/>
    </x:row>
    <x:row r="92" ht="20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  <x:c r="Q92" s="3"/>
      <x:c r="R92" s="3"/>
      <x:c r="S92" s="3"/>
    </x:row>
    <x:row r="93" ht="20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  <x:c r="Q93" s="3"/>
      <x:c r="R93" s="3"/>
      <x:c r="S93" s="3"/>
    </x:row>
    <x:row r="94" ht="20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  <x:c r="Q94" s="3"/>
      <x:c r="R94" s="3"/>
      <x:c r="S94" s="3"/>
    </x:row>
    <x:row r="95" ht="20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  <x:c r="Q95" s="3"/>
      <x:c r="R95" s="3"/>
      <x:c r="S95" s="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28" customHeight="1">
      <x:c r="A2" s="3"/>
      <x:c r="B2" s="3"/>
      <x:c r="C2" s="5" t="str">
        <x:v>SpaceX — kontrole spójności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0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 ht="20" customHeight="1">
      <x:c r="A4" s="3"/>
      <x:c r="B4" s="3"/>
      <x:c r="C4" s="3" t="str">
        <x:v>Wybrany scenariusz:</x:v>
      </x:c>
      <x:c r="D4" s="9" t="str">
        <x:f>'Założenia'!$E$4</x:f>
        <x:v>Bazowy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 ht="2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</x:row>
    <x:row r="6" ht="20" customHeight="1">
      <x:c r="A6" s="3"/>
      <x:c r="B6" s="3"/>
      <x:c r="C6" s="3" t="str">
        <x:v>Różnice w USD mln, tolerancja 0,01. Kontrole nie zasilają wyceny.</x:v>
      </x:c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 ht="2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 ht="20" customHeight="1">
      <x:c r="A8" s="3"/>
      <x:c r="B8" s="3"/>
      <x:c r="C8" s="3" t="str">
        <x:v>Przychody 2025: suma segmentów</x:v>
      </x:c>
      <x:c r="D8" s="67" t="n">
        <x:f>SUM('Dane'!F19,'Dane'!F27,'Dane'!F35)-'Dane'!F9</x:f>
        <x:v>0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 ht="20" customHeight="1">
      <x:c r="A9" s="3"/>
      <x:c r="B9" s="3"/>
      <x:c r="C9" s="3" t="str">
        <x:v>Przychody Q3:26: suma segmentów</x:v>
      </x:c>
      <x:c r="D9" s="67" t="n">
        <x:f>SUM('Dane'!H19,'Dane'!H27,'Dane'!H35)-'Dane'!H9</x:f>
        <x:v>0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20" customHeight="1">
      <x:c r="A10" s="3"/>
      <x:c r="B10" s="3"/>
      <x:c r="C10" s="3" t="str">
        <x:v>EBIT Q3:26: suma segmentów</x:v>
      </x:c>
      <x:c r="D10" s="67" t="n">
        <x:f>SUM('Dane'!H20,'Dane'!H28,'Dane'!H36)-'Dane'!H10</x:f>
        <x:v>0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</x:row>
    <x:row r="11" ht="20" customHeight="1">
      <x:c r="A11" s="3"/>
      <x:c r="B11" s="3"/>
      <x:c r="C11" s="3" t="str">
        <x:v>Raportowane akcje A+B</x:v>
      </x:c>
      <x:c r="D11" s="67" t="n">
        <x:f>SUM('Dane'!D52:D53)-'Dane'!D54</x:f>
        <x:v>0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</x:row>
    <x:row r="12" ht="20" customHeight="1">
      <x:c r="A12" s="3"/>
      <x:c r="B12" s="3"/>
      <x:c r="C12" s="3" t="str">
        <x:v>Aktywa początkowe z CIP i intangibles</x:v>
      </x:c>
      <x:c r="D12" s="67" t="n">
        <x:f>SUM('Założenia'!$D$204,'Założenia'!$D$205,'Założenia'!$D$206,'Założenia'!$D$207,'Założenia'!$D$208,'Założenia'!$D$209,'Założenia'!$D$179)-SUM('Dane'!D48:D49,'Dane'!D55)</x:f>
        <x:v>0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</x:row>
    <x:row r="13" ht="20" customHeight="1">
      <x:c r="A13" s="3"/>
      <x:c r="B13" s="3"/>
      <x:c r="C13" s="3" t="str">
        <x:v>Mostek EV do equity</x:v>
      </x:c>
      <x:c r="D13" s="67" t="n">
        <x:f>'Wycena'!D16-'Wycena'!D12-'Wycena'!D37</x:f>
        <x:v>0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</x:row>
    <x:row r="14" ht="20" customHeight="1">
      <x:c r="A14" s="3"/>
      <x:c r="B14" s="3"/>
      <x:c r="C14" s="3" t="str">
        <x:v>Terminal FCFF: mostek NOPAT/D&amp;A/capex/NWC</x:v>
      </x:c>
      <x:c r="D14" s="67" t="n">
        <x:f>'Wycena'!D53-('Wycena'!D46+'Wycena'!D47-'Wycena'!D52-'Wycena'!D49)</x:f>
        <x:v>-2.9103830456733704e-11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</x:row>
    <x:row r="15" ht="20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</x:row>
    <x:row r="16" ht="20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</x:row>
    <x:row r="17" ht="2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</x:row>
    <x:row r="18" ht="24" customHeight="1">
      <x:c r="A18" s="3"/>
      <x:c r="B18" s="3"/>
      <x:c r="C18" s="13" t="str">
        <x:v>Okres</x:v>
      </x:c>
      <x:c r="D18" s="13" t="str">
        <x:v>Q4:26E</x:v>
      </x:c>
      <x:c r="E18" s="13" t="str">
        <x:v>2027E</x:v>
      </x:c>
      <x:c r="F18" s="13" t="str">
        <x:v>2028E</x:v>
      </x:c>
      <x:c r="G18" s="13" t="str">
        <x:v>2029E</x:v>
      </x:c>
      <x:c r="H18" s="13" t="str">
        <x:v>2030E</x:v>
      </x:c>
      <x:c r="I18" s="13" t="str">
        <x:v>2031E</x:v>
      </x:c>
      <x:c r="J18" s="13" t="str">
        <x:v>2032E</x:v>
      </x:c>
      <x:c r="K18" s="13" t="str">
        <x:v>2033E</x:v>
      </x:c>
      <x:c r="L18" s="13" t="str">
        <x:v>2034E</x:v>
      </x:c>
      <x:c r="M18" s="13" t="str">
        <x:v>2035E</x:v>
      </x:c>
      <x:c r="N18" s="13" t="str">
        <x:v>2036E</x:v>
      </x:c>
      <x:c r="O18" s="13" t="str">
        <x:v>2037E</x:v>
      </x:c>
      <x:c r="P18" s="13" t="str">
        <x:v>2038E</x:v>
      </x:c>
      <x:c r="Q18" s="13" t="str">
        <x:v>2039E</x:v>
      </x:c>
      <x:c r="R18" s="13" t="str">
        <x:v>2040E</x:v>
      </x:c>
      <x:c r="S18" s="13" t="str">
        <x:v>2041E</x:v>
      </x:c>
    </x:row>
    <x:row r="19" ht="20" customHeight="1">
      <x:c r="A19" s="3"/>
      <x:c r="B19" s="3"/>
      <x:c r="C19" s="3" t="str">
        <x:v>Przychody: suma segmentów</x:v>
      </x:c>
      <x:c r="D19" s="67" t="n">
        <x:f>'Operacje'!D69-SUM('Operacje'!D33,'Operacje'!D20,'Operacje'!D51)</x:f>
        <x:v>0</x:v>
      </x:c>
      <x:c r="E19" s="67" t="n">
        <x:f>'Operacje'!E69-SUM('Operacje'!E33,'Operacje'!E20,'Operacje'!E51)</x:f>
        <x:v>0</x:v>
      </x:c>
      <x:c r="F19" s="67" t="n">
        <x:f>'Operacje'!F69-SUM('Operacje'!F33,'Operacje'!F20,'Operacje'!F51)</x:f>
        <x:v>0</x:v>
      </x:c>
      <x:c r="G19" s="67" t="n">
        <x:f>'Operacje'!G69-SUM('Operacje'!G33,'Operacje'!G20,'Operacje'!G51)</x:f>
        <x:v>0</x:v>
      </x:c>
      <x:c r="H19" s="67" t="n">
        <x:f>'Operacje'!H69-SUM('Operacje'!H33,'Operacje'!H20,'Operacje'!H51)</x:f>
        <x:v>0</x:v>
      </x:c>
      <x:c r="I19" s="67" t="n">
        <x:f>'Operacje'!I69-SUM('Operacje'!I33,'Operacje'!I20,'Operacje'!I51)</x:f>
        <x:v>0</x:v>
      </x:c>
      <x:c r="J19" s="67" t="n">
        <x:f>'Operacje'!J69-SUM('Operacje'!J33,'Operacje'!J20,'Operacje'!J51)</x:f>
        <x:v>0</x:v>
      </x:c>
      <x:c r="K19" s="67" t="n">
        <x:f>'Operacje'!K69-SUM('Operacje'!K33,'Operacje'!K20,'Operacje'!K51)</x:f>
        <x:v>0</x:v>
      </x:c>
      <x:c r="L19" s="67" t="n">
        <x:f>'Operacje'!L69-SUM('Operacje'!L33,'Operacje'!L20,'Operacje'!L51)</x:f>
        <x:v>0</x:v>
      </x:c>
      <x:c r="M19" s="67" t="n">
        <x:f>'Operacje'!M69-SUM('Operacje'!M33,'Operacje'!M20,'Operacje'!M51)</x:f>
        <x:v>0</x:v>
      </x:c>
      <x:c r="N19" s="67" t="n">
        <x:f>'Operacje'!N69-SUM('Operacje'!N33,'Operacje'!N20,'Operacje'!N51)</x:f>
        <x:v>0</x:v>
      </x:c>
      <x:c r="O19" s="67" t="n">
        <x:f>'Operacje'!O69-SUM('Operacje'!O33,'Operacje'!O20,'Operacje'!O51)</x:f>
        <x:v>0</x:v>
      </x:c>
      <x:c r="P19" s="67" t="n">
        <x:f>'Operacje'!P69-SUM('Operacje'!P33,'Operacje'!P20,'Operacje'!P51)</x:f>
        <x:v>0</x:v>
      </x:c>
      <x:c r="Q19" s="67" t="n">
        <x:f>'Operacje'!Q69-SUM('Operacje'!Q33,'Operacje'!Q20,'Operacje'!Q51)</x:f>
        <x:v>0</x:v>
      </x:c>
      <x:c r="R19" s="67" t="n">
        <x:f>'Operacje'!R69-SUM('Operacje'!R33,'Operacje'!R20,'Operacje'!R51)</x:f>
        <x:v>0</x:v>
      </x:c>
      <x:c r="S19" s="67" t="n">
        <x:f>'Operacje'!S69-SUM('Operacje'!S33,'Operacje'!S20,'Operacje'!S51)</x:f>
        <x:v>0</x:v>
      </x:c>
    </x:row>
    <x:row r="20" ht="20" customHeight="1">
      <x:c r="A20" s="3"/>
      <x:c r="B20" s="3"/>
      <x:c r="C20" s="3" t="str">
        <x:v>EBIT: suma segmentów</x:v>
      </x:c>
      <x:c r="D20" s="67" t="n">
        <x:f>'FCFF'!D11-SUM('FCFF'!D39:D41)</x:f>
        <x:v>-4.547473508864641e-13</x:v>
      </x:c>
      <x:c r="E20" s="67" t="n">
        <x:f>'FCFF'!E11-SUM('FCFF'!E39:E41)</x:f>
        <x:v>-3.637978807091713e-12</x:v>
      </x:c>
      <x:c r="F20" s="67" t="n">
        <x:f>'FCFF'!F11-SUM('FCFF'!F39:F41)</x:f>
        <x:v>-7.275957614183426e-12</x:v>
      </x:c>
      <x:c r="G20" s="67" t="n">
        <x:f>'FCFF'!G11-SUM('FCFF'!G39:G41)</x:f>
        <x:v>0</x:v>
      </x:c>
      <x:c r="H20" s="67" t="n">
        <x:f>'FCFF'!H11-SUM('FCFF'!H39:H41)</x:f>
        <x:v>7.275957614183426e-12</x:v>
      </x:c>
      <x:c r="I20" s="67" t="n">
        <x:f>'FCFF'!I11-SUM('FCFF'!I39:I41)</x:f>
        <x:v>0</x:v>
      </x:c>
      <x:c r="J20" s="67" t="n">
        <x:f>'FCFF'!J11-SUM('FCFF'!J39:J41)</x:f>
        <x:v>-1.4551915228366852e-11</x:v>
      </x:c>
      <x:c r="K20" s="67" t="n">
        <x:f>'FCFF'!K11-SUM('FCFF'!K39:K41)</x:f>
        <x:v>0</x:v>
      </x:c>
      <x:c r="L20" s="67" t="n">
        <x:f>'FCFF'!L11-SUM('FCFF'!L39:L41)</x:f>
        <x:v>-2.9103830456733704e-11</x:v>
      </x:c>
      <x:c r="M20" s="67" t="n">
        <x:f>'FCFF'!M11-SUM('FCFF'!M39:M41)</x:f>
        <x:v>-1.4551915228366852e-11</x:v>
      </x:c>
      <x:c r="N20" s="67" t="n">
        <x:f>'FCFF'!N11-SUM('FCFF'!N39:N41)</x:f>
        <x:v>0</x:v>
      </x:c>
      <x:c r="O20" s="67" t="n">
        <x:f>'FCFF'!O11-SUM('FCFF'!O39:O41)</x:f>
        <x:v>-2.9103830456733704e-11</x:v>
      </x:c>
      <x:c r="P20" s="67" t="n">
        <x:f>'FCFF'!P11-SUM('FCFF'!P39:P41)</x:f>
        <x:v>-2.9103830456733704e-11</x:v>
      </x:c>
      <x:c r="Q20" s="67" t="n">
        <x:f>'FCFF'!Q11-SUM('FCFF'!Q39:Q41)</x:f>
        <x:v>-2.9103830456733704e-11</x:v>
      </x:c>
      <x:c r="R20" s="67" t="n">
        <x:f>'FCFF'!R11-SUM('FCFF'!R39:R41)</x:f>
        <x:v>0</x:v>
      </x:c>
      <x:c r="S20" s="67" t="n">
        <x:f>'FCFF'!S11-SUM('FCFF'!S39:S41)</x:f>
        <x:v>0</x:v>
      </x:c>
    </x:row>
    <x:row r="21" ht="20" customHeight="1">
      <x:c r="A21" s="3"/>
      <x:c r="B21" s="3"/>
      <x:c r="C21" s="3" t="str">
        <x:v>FCFF: mostek przepływu</x:v>
      </x:c>
      <x:c r="D21" s="67" t="n">
        <x:f>'FCFF'!D25-('FCFF'!D19+'FCFF'!D10-'FCFF'!D23-'FCFF'!D24)</x:f>
        <x:v>0</x:v>
      </x:c>
      <x:c r="E21" s="67" t="n">
        <x:f>'FCFF'!E25-('FCFF'!E19+'FCFF'!E10-'FCFF'!E23-'FCFF'!E24)</x:f>
        <x:v>0</x:v>
      </x:c>
      <x:c r="F21" s="67" t="n">
        <x:f>'FCFF'!F25-('FCFF'!F19+'FCFF'!F10-'FCFF'!F23-'FCFF'!F24)</x:f>
        <x:v>0</x:v>
      </x:c>
      <x:c r="G21" s="67" t="n">
        <x:f>'FCFF'!G25-('FCFF'!G19+'FCFF'!G10-'FCFF'!G23-'FCFF'!G24)</x:f>
        <x:v>0</x:v>
      </x:c>
      <x:c r="H21" s="67" t="n">
        <x:f>'FCFF'!H25-('FCFF'!H19+'FCFF'!H10-'FCFF'!H23-'FCFF'!H24)</x:f>
        <x:v>0</x:v>
      </x:c>
      <x:c r="I21" s="67" t="n">
        <x:f>'FCFF'!I25-('FCFF'!I19+'FCFF'!I10-'FCFF'!I23-'FCFF'!I24)</x:f>
        <x:v>0</x:v>
      </x:c>
      <x:c r="J21" s="67" t="n">
        <x:f>'FCFF'!J25-('FCFF'!J19+'FCFF'!J10-'FCFF'!J23-'FCFF'!J24)</x:f>
        <x:v>0</x:v>
      </x:c>
      <x:c r="K21" s="67" t="n">
        <x:f>'FCFF'!K25-('FCFF'!K19+'FCFF'!K10-'FCFF'!K23-'FCFF'!K24)</x:f>
        <x:v>0</x:v>
      </x:c>
      <x:c r="L21" s="67" t="n">
        <x:f>'FCFF'!L25-('FCFF'!L19+'FCFF'!L10-'FCFF'!L23-'FCFF'!L24)</x:f>
        <x:v>0</x:v>
      </x:c>
      <x:c r="M21" s="67" t="n">
        <x:f>'FCFF'!M25-('FCFF'!M19+'FCFF'!M10-'FCFF'!M23-'FCFF'!M24)</x:f>
        <x:v>0</x:v>
      </x:c>
      <x:c r="N21" s="67" t="n">
        <x:f>'FCFF'!N25-('FCFF'!N19+'FCFF'!N10-'FCFF'!N23-'FCFF'!N24)</x:f>
        <x:v>0</x:v>
      </x:c>
      <x:c r="O21" s="67" t="n">
        <x:f>'FCFF'!O25-('FCFF'!O19+'FCFF'!O10-'FCFF'!O23-'FCFF'!O24)</x:f>
        <x:v>0</x:v>
      </x:c>
      <x:c r="P21" s="67" t="n">
        <x:f>'FCFF'!P25-('FCFF'!P19+'FCFF'!P10-'FCFF'!P23-'FCFF'!P24)</x:f>
        <x:v>0</x:v>
      </x:c>
      <x:c r="Q21" s="67" t="n">
        <x:f>'FCFF'!Q25-('FCFF'!Q19+'FCFF'!Q10-'FCFF'!Q23-'FCFF'!Q24)</x:f>
        <x:v>0</x:v>
      </x:c>
      <x:c r="R21" s="67" t="n">
        <x:f>'FCFF'!R25-('FCFF'!R19+'FCFF'!R10-'FCFF'!R23-'FCFF'!R24)</x:f>
        <x:v>0</x:v>
      </x:c>
      <x:c r="S21" s="67" t="n">
        <x:f>'FCFF'!S25-('FCFF'!S19+'FCFF'!S10-'FCFF'!S23-'FCFF'!S24)</x:f>
        <x:v>0</x:v>
      </x:c>
    </x:row>
    <x:row r="22" ht="20" customHeight="1">
      <x:c r="A22" s="3"/>
      <x:c r="B22" s="3"/>
      <x:c r="C22" s="3" t="str">
        <x:v>AI: capex i zmiana CIP</x:v>
      </x:c>
      <x:c r="D22" s="67" t="n">
        <x:f>'Operacje'!D65-('Operacje'!D63+'Operacje'!D62-'Operacje'!D61)</x:f>
        <x:v>0</x:v>
      </x:c>
      <x:c r="E22" s="67" t="n">
        <x:f>'Operacje'!E65-('Operacje'!E63+'Operacje'!E62-'Operacje'!E61)</x:f>
        <x:v>0</x:v>
      </x:c>
      <x:c r="F22" s="67" t="n">
        <x:f>'Operacje'!F65-('Operacje'!F63+'Operacje'!F62-'Operacje'!F61)</x:f>
        <x:v>0</x:v>
      </x:c>
      <x:c r="G22" s="67" t="n">
        <x:f>'Operacje'!G65-('Operacje'!G63+'Operacje'!G62-'Operacje'!G61)</x:f>
        <x:v>0</x:v>
      </x:c>
      <x:c r="H22" s="67" t="n">
        <x:f>'Operacje'!H65-('Operacje'!H63+'Operacje'!H62-'Operacje'!H61)</x:f>
        <x:v>0</x:v>
      </x:c>
      <x:c r="I22" s="67" t="n">
        <x:f>'Operacje'!I65-('Operacje'!I63+'Operacje'!I62-'Operacje'!I61)</x:f>
        <x:v>0</x:v>
      </x:c>
      <x:c r="J22" s="67" t="n">
        <x:f>'Operacje'!J65-('Operacje'!J63+'Operacje'!J62-'Operacje'!J61)</x:f>
        <x:v>0</x:v>
      </x:c>
      <x:c r="K22" s="67" t="n">
        <x:f>'Operacje'!K65-('Operacje'!K63+'Operacje'!K62-'Operacje'!K61)</x:f>
        <x:v>0</x:v>
      </x:c>
      <x:c r="L22" s="67" t="n">
        <x:f>'Operacje'!L65-('Operacje'!L63+'Operacje'!L62-'Operacje'!L61)</x:f>
        <x:v>0</x:v>
      </x:c>
      <x:c r="M22" s="67" t="n">
        <x:f>'Operacje'!M65-('Operacje'!M63+'Operacje'!M62-'Operacje'!M61)</x:f>
        <x:v>0</x:v>
      </x:c>
      <x:c r="N22" s="67" t="n">
        <x:f>'Operacje'!N65-('Operacje'!N63+'Operacje'!N62-'Operacje'!N61)</x:f>
        <x:v>0</x:v>
      </x:c>
      <x:c r="O22" s="67" t="n">
        <x:f>'Operacje'!O65-('Operacje'!O63+'Operacje'!O62-'Operacje'!O61)</x:f>
        <x:v>0</x:v>
      </x:c>
      <x:c r="P22" s="67" t="n">
        <x:f>'Operacje'!P65-('Operacje'!P63+'Operacje'!P62-'Operacje'!P61)</x:f>
        <x:v>0</x:v>
      </x:c>
      <x:c r="Q22" s="67" t="n">
        <x:f>'Operacje'!Q65-('Operacje'!Q63+'Operacje'!Q62-'Operacje'!Q61)</x:f>
        <x:v>0</x:v>
      </x:c>
      <x:c r="R22" s="67" t="n">
        <x:f>'Operacje'!R65-('Operacje'!R63+'Operacje'!R62-'Operacje'!R61)</x:f>
        <x:v>0</x:v>
      </x:c>
      <x:c r="S22" s="67" t="n">
        <x:f>'Operacje'!S65-('Operacje'!S63+'Operacje'!S62-'Operacje'!S61)</x:f>
        <x:v>0</x:v>
      </x:c>
    </x:row>
    <x:row r="23" ht="20" customHeight="1">
      <x:c r="A23" s="3"/>
      <x:c r="B23" s="3"/>
      <x:c r="C23" s="3" t="str">
        <x:v>D&amp;A: suma sześciu pul</x:v>
      </x:c>
      <x:c r="D23" s="67" t="n">
        <x:f>'FCFF'!D10-SUM('Nakłady i D&amp;A'!D29,'Nakłady i D&amp;A'!D54,'Nakłady i D&amp;A'!D79,'Nakłady i D&amp;A'!D104,'Nakłady i D&amp;A'!D129,'Nakłady i D&amp;A'!D154)</x:f>
        <x:v>0</x:v>
      </x:c>
      <x:c r="E23" s="67" t="n">
        <x:f>'FCFF'!E10-SUM('Nakłady i D&amp;A'!E29,'Nakłady i D&amp;A'!E54,'Nakłady i D&amp;A'!E79,'Nakłady i D&amp;A'!E104,'Nakłady i D&amp;A'!E129,'Nakłady i D&amp;A'!E154)</x:f>
        <x:v>0</x:v>
      </x:c>
      <x:c r="F23" s="67" t="n">
        <x:f>'FCFF'!F10-SUM('Nakłady i D&amp;A'!F29,'Nakłady i D&amp;A'!F54,'Nakłady i D&amp;A'!F79,'Nakłady i D&amp;A'!F104,'Nakłady i D&amp;A'!F129,'Nakłady i D&amp;A'!F154)</x:f>
        <x:v>0</x:v>
      </x:c>
      <x:c r="G23" s="67" t="n">
        <x:f>'FCFF'!G10-SUM('Nakłady i D&amp;A'!G29,'Nakłady i D&amp;A'!G54,'Nakłady i D&amp;A'!G79,'Nakłady i D&amp;A'!G104,'Nakłady i D&amp;A'!G129,'Nakłady i D&amp;A'!G154)</x:f>
        <x:v>0</x:v>
      </x:c>
      <x:c r="H23" s="67" t="n">
        <x:f>'FCFF'!H10-SUM('Nakłady i D&amp;A'!H29,'Nakłady i D&amp;A'!H54,'Nakłady i D&amp;A'!H79,'Nakłady i D&amp;A'!H104,'Nakłady i D&amp;A'!H129,'Nakłady i D&amp;A'!H154)</x:f>
        <x:v>0</x:v>
      </x:c>
      <x:c r="I23" s="67" t="n">
        <x:f>'FCFF'!I10-SUM('Nakłady i D&amp;A'!I29,'Nakłady i D&amp;A'!I54,'Nakłady i D&amp;A'!I79,'Nakłady i D&amp;A'!I104,'Nakłady i D&amp;A'!I129,'Nakłady i D&amp;A'!I154)</x:f>
        <x:v>0</x:v>
      </x:c>
      <x:c r="J23" s="67" t="n">
        <x:f>'FCFF'!J10-SUM('Nakłady i D&amp;A'!J29,'Nakłady i D&amp;A'!J54,'Nakłady i D&amp;A'!J79,'Nakłady i D&amp;A'!J104,'Nakłady i D&amp;A'!J129,'Nakłady i D&amp;A'!J154)</x:f>
        <x:v>0</x:v>
      </x:c>
      <x:c r="K23" s="67" t="n">
        <x:f>'FCFF'!K10-SUM('Nakłady i D&amp;A'!K29,'Nakłady i D&amp;A'!K54,'Nakłady i D&amp;A'!K79,'Nakłady i D&amp;A'!K104,'Nakłady i D&amp;A'!K129,'Nakłady i D&amp;A'!K154)</x:f>
        <x:v>0</x:v>
      </x:c>
      <x:c r="L23" s="67" t="n">
        <x:f>'FCFF'!L10-SUM('Nakłady i D&amp;A'!L29,'Nakłady i D&amp;A'!L54,'Nakłady i D&amp;A'!L79,'Nakłady i D&amp;A'!L104,'Nakłady i D&amp;A'!L129,'Nakłady i D&amp;A'!L154)</x:f>
        <x:v>0</x:v>
      </x:c>
      <x:c r="M23" s="67" t="n">
        <x:f>'FCFF'!M10-SUM('Nakłady i D&amp;A'!M29,'Nakłady i D&amp;A'!M54,'Nakłady i D&amp;A'!M79,'Nakłady i D&amp;A'!M104,'Nakłady i D&amp;A'!M129,'Nakłady i D&amp;A'!M154)</x:f>
        <x:v>0</x:v>
      </x:c>
      <x:c r="N23" s="67" t="n">
        <x:f>'FCFF'!N10-SUM('Nakłady i D&amp;A'!N29,'Nakłady i D&amp;A'!N54,'Nakłady i D&amp;A'!N79,'Nakłady i D&amp;A'!N104,'Nakłady i D&amp;A'!N129,'Nakłady i D&amp;A'!N154)</x:f>
        <x:v>0</x:v>
      </x:c>
      <x:c r="O23" s="67" t="n">
        <x:f>'FCFF'!O10-SUM('Nakłady i D&amp;A'!O29,'Nakłady i D&amp;A'!O54,'Nakłady i D&amp;A'!O79,'Nakłady i D&amp;A'!O104,'Nakłady i D&amp;A'!O129,'Nakłady i D&amp;A'!O154)</x:f>
        <x:v>0</x:v>
      </x:c>
      <x:c r="P23" s="67" t="n">
        <x:f>'FCFF'!P10-SUM('Nakłady i D&amp;A'!P29,'Nakłady i D&amp;A'!P54,'Nakłady i D&amp;A'!P79,'Nakłady i D&amp;A'!P104,'Nakłady i D&amp;A'!P129,'Nakłady i D&amp;A'!P154)</x:f>
        <x:v>0</x:v>
      </x:c>
      <x:c r="Q23" s="67" t="n">
        <x:f>'FCFF'!Q10-SUM('Nakłady i D&amp;A'!Q29,'Nakłady i D&amp;A'!Q54,'Nakłady i D&amp;A'!Q79,'Nakłady i D&amp;A'!Q104,'Nakłady i D&amp;A'!Q129,'Nakłady i D&amp;A'!Q154)</x:f>
        <x:v>0</x:v>
      </x:c>
      <x:c r="R23" s="67" t="n">
        <x:f>'FCFF'!R10-SUM('Nakłady i D&amp;A'!R29,'Nakłady i D&amp;A'!R54,'Nakłady i D&amp;A'!R79,'Nakłady i D&amp;A'!R104,'Nakłady i D&amp;A'!R129,'Nakłady i D&amp;A'!R154)</x:f>
        <x:v>0</x:v>
      </x:c>
      <x:c r="S23" s="67" t="n">
        <x:f>'FCFF'!S10-SUM('Nakłady i D&amp;A'!S29,'Nakłady i D&amp;A'!S54,'Nakłady i D&amp;A'!S79,'Nakłady i D&amp;A'!S104,'Nakłady i D&amp;A'!S129,'Nakłady i D&amp;A'!S154)</x:f>
        <x:v>0</x:v>
      </x:c>
    </x:row>
    <x:row r="24" ht="20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</x:row>
    <x:row r="25" ht="20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  <x:c r="R25" s="3"/>
      <x:c r="S25" s="3"/>
    </x:row>
    <x:row r="26" ht="20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</x:row>
    <x:row r="27" ht="20" customHeight="1">
      <x:c r="A27" s="3"/>
      <x:c r="B27" s="3"/>
      <x:c r="C27" s="3" t="str">
        <x:v>Kontrole obejmują mostki arytmetyczne. Założenia operacyjne i przyszłe finansowanie wymagają osobnej oceny.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  <x:c r="R27" s="3"/>
      <x:c r="S27" s="3"/>
    </x:row>
    <x:row r="28" ht="20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  <x:c r="R28" s="3"/>
      <x:c r="S28" s="3"/>
    </x:row>
    <x:row r="29" ht="20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  <x:c r="R29" s="3"/>
      <x:c r="S29" s="3"/>
    </x:row>
    <x:row r="30" ht="20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  <x:c r="R30" s="3"/>
      <x:c r="S30" s="3"/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  <x:c r="R31" s="3"/>
      <x:c r="S31" s="3"/>
    </x:row>
    <x:row r="32" ht="20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  <x:c r="R32" s="3"/>
      <x:c r="S32" s="3"/>
    </x:row>
    <x:row r="33" ht="20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  <x:c r="S33" s="3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  <x:c r="S34" s="3"/>
    </x:row>
    <x:row r="35" ht="20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  <x:c r="S35" s="3"/>
    </x:row>
    <x:row r="36" ht="20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  <x:c r="S36" s="3"/>
    </x:row>
    <x:row r="37" ht="20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  <x:c r="S37" s="3"/>
    </x:row>
    <x:row r="38" ht="20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  <x:c r="S38" s="3"/>
    </x:row>
    <x:row r="39" ht="20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  <x:c r="S39" s="3"/>
    </x:row>
    <x:row r="40" ht="2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  <x:c r="R40" s="3"/>
      <x:c r="S40" s="3"/>
    </x:row>
    <x:row r="41" ht="20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  <x:c r="R41" s="3"/>
      <x:c r="S41" s="3"/>
    </x:row>
    <x:row r="42" ht="20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  <x:c r="R42" s="3"/>
      <x:c r="S42" s="3"/>
    </x:row>
    <x:row r="43" ht="20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  <x:c r="R43" s="3"/>
      <x:c r="S43" s="3"/>
    </x:row>
    <x:row r="44" ht="20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  <x:c r="R44" s="3"/>
      <x:c r="S44" s="3"/>
    </x:row>
    <x:row r="45" ht="20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  <x:c r="S45" s="3"/>
    </x:row>
    <x:row r="46" ht="20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  <x:c r="S46" s="3"/>
    </x:row>
    <x:row r="47" ht="20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  <x:c r="S47" s="3"/>
    </x:row>
    <x:row r="48" ht="20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  <x:c r="S48" s="3"/>
    </x:row>
    <x:row r="49" ht="20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  <x:c r="S49" s="3"/>
    </x:row>
    <x:row r="50" ht="20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  <x:c r="S50" s="3"/>
    </x:row>
  </x:sheetData>
  <x:conditionalFormatting sqref="D8:D14">
    <x:cfRule type="expression" dxfId="0" priority="1">
      <x:formula>ABS(D8)&gt;0.01</x:formula>
    </x:cfRule>
  </x:conditionalFormatting>
  <x:conditionalFormatting sqref="D19:S23">
    <x:cfRule type="expression" dxfId="1" priority="2">
      <x:formula>ABS(D19)&gt;0.01</x:formula>
    </x:cfRule>
  </x:conditionalFormatting>
  <x:pageMargins left="0.7" right="0.7" top="0.75" bottom="0.75" header="0.3" footer="0.3"/>
</x:worksheet>
</file>